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rçamento" sheetId="1" r:id="rId1"/>
    <sheet name="Cronograma" sheetId="2" r:id="rId2"/>
  </sheets>
  <definedNames/>
  <calcPr fullCalcOnLoad="1"/>
</workbook>
</file>

<file path=xl/sharedStrings.xml><?xml version="1.0" encoding="utf-8"?>
<sst xmlns="http://schemas.openxmlformats.org/spreadsheetml/2006/main" count="439" uniqueCount="289">
  <si>
    <t>Item</t>
  </si>
  <si>
    <t>%</t>
  </si>
  <si>
    <t>SERVIÇOS PRELIIMINARES</t>
  </si>
  <si>
    <t>INSTALAÇÕES PROVISÓRIAS DA OBRA</t>
  </si>
  <si>
    <t>TRABALHOS EM TERRA</t>
  </si>
  <si>
    <t>LIMPEZA DA OBRA</t>
  </si>
  <si>
    <t>INFRA-ESTRUTURA E OBRAS COMPLEMENTARES</t>
  </si>
  <si>
    <t>ESTRUTURA DE CONCRETO ARMADO</t>
  </si>
  <si>
    <t>PAREDES E PAINEIS</t>
  </si>
  <si>
    <t>ESQUADRIAS E VEDAÇÕES</t>
  </si>
  <si>
    <t>PEITORIS E SOLEIRA E PROTEÇÕES</t>
  </si>
  <si>
    <t>IMPERMEABILIZAÇÕES</t>
  </si>
  <si>
    <t>REVESTIMENTOS INTERNOS E EXTERNOS</t>
  </si>
  <si>
    <t>PAVIMENTAÇÕES</t>
  </si>
  <si>
    <t>PINTURA EXTERNA E INTERNA</t>
  </si>
  <si>
    <t>INSTALAÇÕES HIDROSSANITÁRIAS</t>
  </si>
  <si>
    <t>INSTALAÇÃO ELÉTRICA</t>
  </si>
  <si>
    <t>INSTALAÇÕES E EQUIPAMENTOS ESPECIAIS E OBRAS COMPLEMENTARES</t>
  </si>
  <si>
    <t>PLANILHA ORÇAMENTÁRIA</t>
  </si>
  <si>
    <t>OBRA:</t>
  </si>
  <si>
    <t>ÁREA:</t>
  </si>
  <si>
    <t>END:</t>
  </si>
  <si>
    <t>Rua Rudolfo Beutler</t>
  </si>
  <si>
    <t>BDI:</t>
  </si>
  <si>
    <t>Unid</t>
  </si>
  <si>
    <t>Discriminação dos Serviços</t>
  </si>
  <si>
    <t>1</t>
  </si>
  <si>
    <t>1.1</t>
  </si>
  <si>
    <t>Local</t>
  </si>
  <si>
    <t>Subtotal:</t>
  </si>
  <si>
    <t>2</t>
  </si>
  <si>
    <t>2.1</t>
  </si>
  <si>
    <t>m²</t>
  </si>
  <si>
    <t>74209/001</t>
  </si>
  <si>
    <t>3</t>
  </si>
  <si>
    <t>3.1</t>
  </si>
  <si>
    <t>Locação convencional de obra, através de gabarito de tabuas corridas pontaletadas, sem reaproveitamento</t>
  </si>
  <si>
    <t>74077/001</t>
  </si>
  <si>
    <t>3.2</t>
  </si>
  <si>
    <t>Escavação manual de vala em terra compactada</t>
  </si>
  <si>
    <t>m³</t>
  </si>
  <si>
    <t>3.3</t>
  </si>
  <si>
    <t>4</t>
  </si>
  <si>
    <t>4.1</t>
  </si>
  <si>
    <t>Limpeza final de obra</t>
  </si>
  <si>
    <t>5</t>
  </si>
  <si>
    <t>5.1</t>
  </si>
  <si>
    <t>m</t>
  </si>
  <si>
    <t>5.2</t>
  </si>
  <si>
    <t>5.3</t>
  </si>
  <si>
    <t>6</t>
  </si>
  <si>
    <t>6.1</t>
  </si>
  <si>
    <t>PILARES</t>
  </si>
  <si>
    <t>6.1.1</t>
  </si>
  <si>
    <t>6.1.2</t>
  </si>
  <si>
    <t>kg</t>
  </si>
  <si>
    <t>6.1.3</t>
  </si>
  <si>
    <t>6.2</t>
  </si>
  <si>
    <t>VIGAS</t>
  </si>
  <si>
    <t>6.2.1</t>
  </si>
  <si>
    <t>6.2.2</t>
  </si>
  <si>
    <t>6.2.3</t>
  </si>
  <si>
    <t>7</t>
  </si>
  <si>
    <t>7.1</t>
  </si>
  <si>
    <t>73935/002</t>
  </si>
  <si>
    <t>7.2</t>
  </si>
  <si>
    <t>8</t>
  </si>
  <si>
    <t>8.1</t>
  </si>
  <si>
    <t>ESQUADRIAS EXTERNAS DE ALUMÍNIO ANODIZADO BRANCO</t>
  </si>
  <si>
    <t>8.1.3</t>
  </si>
  <si>
    <t>Porta de ferro, de abrir, tipo chapa lisa, com guarnicoes</t>
  </si>
  <si>
    <t>73933/002</t>
  </si>
  <si>
    <t>8.2</t>
  </si>
  <si>
    <t>ESQUADRIAS INTERNAS</t>
  </si>
  <si>
    <t>8.2.2</t>
  </si>
  <si>
    <t>8.3</t>
  </si>
  <si>
    <t>VIDROS</t>
  </si>
  <si>
    <t>8.3.1</t>
  </si>
  <si>
    <t>73838/001</t>
  </si>
  <si>
    <t>8.3.4</t>
  </si>
  <si>
    <t>9</t>
  </si>
  <si>
    <t>9.1</t>
  </si>
  <si>
    <t>Soleira granito cinza 15cm - arg. Ci-ar 1:4 - 3cm</t>
  </si>
  <si>
    <t>10.1</t>
  </si>
  <si>
    <t>11.1</t>
  </si>
  <si>
    <t>Impermeab. de fundações/baldrames/muros de arrimo/alicerces e revest. Em contato c/solo - utiliz. Tinta betuminosa tipo neutrolin / 2demaos</t>
  </si>
  <si>
    <t>74106/001</t>
  </si>
  <si>
    <t>12.2</t>
  </si>
  <si>
    <t>12.1</t>
  </si>
  <si>
    <t>REVESTIMENTOS DE PAREDE</t>
  </si>
  <si>
    <t>Chapisco traço 1:4 (cimento e areia grossa), espessura 0,5cm, preparo mecânico da argamassa</t>
  </si>
  <si>
    <t>Emboco traço 1:4,5 (cal e areia media), espessura 1,5cm, preparo manual da argamassa</t>
  </si>
  <si>
    <t>Reboco com argamassa pré-fabricada, acabamento camurçado, espessura 0,3cm, preparo manual</t>
  </si>
  <si>
    <t>13.1</t>
  </si>
  <si>
    <t>Lastro manual com brita esp. 3cm</t>
  </si>
  <si>
    <t>74164/004</t>
  </si>
  <si>
    <t>13.2</t>
  </si>
  <si>
    <t>Contrapiso/lastro de concreto não-estrutural, e=5cm, preparo com betoneira</t>
  </si>
  <si>
    <t>73907/003</t>
  </si>
  <si>
    <t>13.3</t>
  </si>
  <si>
    <t>13.4</t>
  </si>
  <si>
    <t>14.1</t>
  </si>
  <si>
    <t>Fundo preparador acrílico, uma demão</t>
  </si>
  <si>
    <t>14.2</t>
  </si>
  <si>
    <t>14.3</t>
  </si>
  <si>
    <t>Pintura esmalte brilhante para madeira, duas demãos, sobre fundo nivelador branco</t>
  </si>
  <si>
    <t>74065/003</t>
  </si>
  <si>
    <t>Pintura esmalte brilhante (2 demãos) sobre superfície metálica, inclusive proteção com zarcão (1 demão)</t>
  </si>
  <si>
    <t>15.1</t>
  </si>
  <si>
    <t>ÁGUA FRIA</t>
  </si>
  <si>
    <t>Tubo PVC sold. água fria 25mm c/ conexões</t>
  </si>
  <si>
    <t>Tubo PVC sold. água fria 32mm c/ conexões</t>
  </si>
  <si>
    <t>un</t>
  </si>
  <si>
    <t>15.2</t>
  </si>
  <si>
    <t>ESGOTO E AGUA PLUVIAL</t>
  </si>
  <si>
    <t>Caixa de Inspeção em concreto pré-moldada</t>
  </si>
  <si>
    <t>74166/001</t>
  </si>
  <si>
    <t>74197/001</t>
  </si>
  <si>
    <t>Sumidouro em alvenaria 1,40 altura c/ tampa em concreto</t>
  </si>
  <si>
    <t>74198/002</t>
  </si>
  <si>
    <t>APARELHOS E EQUIPAMENTOS SANITÁRIOS</t>
  </si>
  <si>
    <t>16.1</t>
  </si>
  <si>
    <t>Eletroduto PVC flexivel corrugado 25mm</t>
  </si>
  <si>
    <t>Eletroduto PVC flexivel corrugado 32mm</t>
  </si>
  <si>
    <t>74130/001</t>
  </si>
  <si>
    <t>74131/004</t>
  </si>
  <si>
    <t>Luminária tipo calha 2x40 com partida rápida</t>
  </si>
  <si>
    <t>73953/006</t>
  </si>
  <si>
    <t>TELEFONIA E LÓGICA</t>
  </si>
  <si>
    <t>Fio telefônico interno 0,6mm, 2 condutores</t>
  </si>
  <si>
    <t>73768/001</t>
  </si>
  <si>
    <t>Ponto de tomada para telefone, com tomada padrão Telebrás em caixa de pvc com placa, eletroduto de pvc rígido e fiação ate a caixa de distribuição do pavimento</t>
  </si>
  <si>
    <t>Caixa de passagem para telefone 10x10x5cm</t>
  </si>
  <si>
    <t>17.1</t>
  </si>
  <si>
    <t>Barra de apoio PNE</t>
  </si>
  <si>
    <t>17.2</t>
  </si>
  <si>
    <t>17.3</t>
  </si>
  <si>
    <t>Quantidade</t>
  </si>
  <si>
    <t>Custo Unitário</t>
  </si>
  <si>
    <t>Valor Total</t>
  </si>
  <si>
    <t>Ref. SINAPI - Maio 2016</t>
  </si>
  <si>
    <t>TOTAL DO ORÇAMENTO:</t>
  </si>
  <si>
    <t>Andréa R. Kayser</t>
  </si>
  <si>
    <t>Eng. Civil CREA 97.561</t>
  </si>
  <si>
    <t>Responsável Técnico</t>
  </si>
  <si>
    <t>Sérgio Antônio Lasch</t>
  </si>
  <si>
    <t>Prefeito Municipal</t>
  </si>
  <si>
    <t>360,00 m²</t>
  </si>
  <si>
    <t>Porta de vidro temperado, 1,00 x 2,10m, espessura 10mm, inclusive acessórios</t>
  </si>
  <si>
    <t>11.1.1</t>
  </si>
  <si>
    <t>11.1.2</t>
  </si>
  <si>
    <t>11.1.3</t>
  </si>
  <si>
    <t>11.1.4</t>
  </si>
  <si>
    <t>12.3</t>
  </si>
  <si>
    <t>14.1.1</t>
  </si>
  <si>
    <t>14.1.2</t>
  </si>
  <si>
    <t>14.2.1</t>
  </si>
  <si>
    <t>14.2.2</t>
  </si>
  <si>
    <t>14.2.3</t>
  </si>
  <si>
    <t>14.2.4</t>
  </si>
  <si>
    <t>14.2.5</t>
  </si>
  <si>
    <t>14.2.6</t>
  </si>
  <si>
    <t>14.2.7</t>
  </si>
  <si>
    <t>14.2.8</t>
  </si>
  <si>
    <t>14.2.9</t>
  </si>
  <si>
    <t>14.3.1</t>
  </si>
  <si>
    <t>cotação</t>
  </si>
  <si>
    <t>14.3.2</t>
  </si>
  <si>
    <t>74234/001</t>
  </si>
  <si>
    <t>14.3.4</t>
  </si>
  <si>
    <t>14.3.3</t>
  </si>
  <si>
    <t>14.3.5</t>
  </si>
  <si>
    <t>14.3.6</t>
  </si>
  <si>
    <t>14.3.7</t>
  </si>
  <si>
    <t>14.3.8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</si>
  <si>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</si>
  <si>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</si>
  <si>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</si>
  <si>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</si>
  <si>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</si>
  <si>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</si>
  <si>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</si>
  <si>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</si>
  <si>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</si>
  <si>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15.1.10</t>
  </si>
  <si>
    <t>15.1.11</t>
  </si>
  <si>
    <t>15.1.12</t>
  </si>
  <si>
    <t>15.1.13</t>
  </si>
  <si>
    <t>15.1.14</t>
  </si>
  <si>
    <t>15.2.1</t>
  </si>
  <si>
    <t>15.2.2.</t>
  </si>
  <si>
    <t>15.2.3</t>
  </si>
  <si>
    <t>Tesouras em concreto pré moldado para vão de 15m com beiral, acessórios e montagem</t>
  </si>
  <si>
    <t>17.4</t>
  </si>
  <si>
    <t>17.6</t>
  </si>
  <si>
    <t>Placas de fechamento de concreto pré moldado com 8cm de espessura</t>
  </si>
  <si>
    <t>Pilares de oitão de concreto pré moldado 23x31 com fundação e montagem</t>
  </si>
  <si>
    <t>Pilares laterais f em concreto pré moldado 23x31 com fundação e montagem</t>
  </si>
  <si>
    <t>CONSTRUÇÃO DO CENTRO DE CONVIVÊNCIA</t>
  </si>
  <si>
    <t>m3</t>
  </si>
  <si>
    <t>73972/002</t>
  </si>
  <si>
    <t>5.4</t>
  </si>
  <si>
    <t>m2</t>
  </si>
  <si>
    <t>Kg</t>
  </si>
  <si>
    <t>5.5</t>
  </si>
  <si>
    <t>74157/004</t>
  </si>
  <si>
    <t>6.1.4</t>
  </si>
  <si>
    <t>6.2.4</t>
  </si>
  <si>
    <t>ESTRUTURA EM CONCRETO PRÉ MOLDADO, COBERTURA E FECHAMENTO EM PLACAS DE CONCRETO PRÉ MOLDADO</t>
  </si>
  <si>
    <t>CRONOGRAMA FÍSICO FINANCEIRO DA OBRA</t>
  </si>
  <si>
    <t>Parcela_1</t>
  </si>
  <si>
    <t>Parcela_2</t>
  </si>
  <si>
    <t>Parcela_3</t>
  </si>
  <si>
    <t>Parcela_4</t>
  </si>
  <si>
    <t>Parcela_5</t>
  </si>
  <si>
    <t>Parcela_6</t>
  </si>
  <si>
    <t>Parcela_7</t>
  </si>
  <si>
    <t>Parcela_8</t>
  </si>
  <si>
    <t>Discriminação dos serviços</t>
  </si>
  <si>
    <t>TOTAL PARCELA</t>
  </si>
  <si>
    <t>TOTAL ACUMULADO</t>
  </si>
  <si>
    <t>Armação de pilar ou viga de uma estrutura convencional de concreto armado em uma edifícação térrea ou sobrado utilizando aço ca-50 de 10.0 mm - montagem. af_12/2015</t>
  </si>
  <si>
    <t>Concreto simples controle tipo B, fabricado na obra,fck 20 mpa</t>
  </si>
  <si>
    <t>Área.: 360,00 m²</t>
  </si>
  <si>
    <t>Valor Orçado</t>
  </si>
  <si>
    <t>Percentual</t>
  </si>
  <si>
    <t>Fonte: SINAPI - MAIO 2016</t>
  </si>
  <si>
    <t>Lagoa dos Três Cantos - RS, 13 de Junho de 2016</t>
  </si>
  <si>
    <t>Terças metálicas perfil U galvanizada, telhas com revestimento galvalume 0,50mm + EPS 30mm + filme e parafusos para fixação, considerando inclinação e beiral com montagem</t>
  </si>
  <si>
    <t>aplicação manual de pintura com tinta látex acrílica em paredes, duas demãos</t>
  </si>
  <si>
    <t>BDI: 26,68%</t>
  </si>
  <si>
    <t xml:space="preserve">   </t>
  </si>
  <si>
    <t>18.1</t>
  </si>
  <si>
    <t>Extintores ACB 4 kg</t>
  </si>
  <si>
    <t>18.2</t>
  </si>
  <si>
    <t>Placas fotoluminescente</t>
  </si>
  <si>
    <t>18.3</t>
  </si>
  <si>
    <t>Luminárias com 2 faroletes de 2 x 21 W</t>
  </si>
  <si>
    <t>PLANO DE PREVENÇÃO E PROTEÇÃO CONTRA INCÊNDIOS - PPCI</t>
  </si>
  <si>
    <t>Tubo PVC esgoto DN 40 fornecimento e instalação c/ conexões</t>
  </si>
  <si>
    <t>Tubo PVC esgoto DN 50  fornecimento e instalação c/ conexões</t>
  </si>
  <si>
    <t>Tubo PVC esgoto DN 75  fornecimento e instalação c/ conexões</t>
  </si>
  <si>
    <t>Tubo PVC esgoto DN 100  fornecimento e instalação c/ conexões</t>
  </si>
  <si>
    <t>74051/002</t>
  </si>
  <si>
    <t>Caixa de Gordura simples em concreto pré-moldada</t>
  </si>
  <si>
    <t>Ralo sifonado PVC100x40mm,junta soldável,fornecimento/instalação</t>
  </si>
  <si>
    <t>Fossa septica e filtro em alvenaria 1,90x1,10x1,40 ou pré-moldada(valor unitário para cada um)</t>
  </si>
  <si>
    <t>Vaso sanitário c/ caixa acoplada, fornecimento e instalação</t>
  </si>
  <si>
    <t>Mictório sifonado de louça branca c/pertences, registro de pressão 1/2",c/canopla cromada,acabamento simples e conjunto fixação-fornecimento e instalação</t>
  </si>
  <si>
    <t>Lavatório louça c/ coluna padão médio, fornecimento e instalação</t>
  </si>
  <si>
    <t>Lavatório louças suspenso 29,5 X 39CM ou equivalente, fornecimento e instalação</t>
  </si>
  <si>
    <t>Torneira cromada 1/2" ou 3/4" lavatório,fornecimento/instalação</t>
  </si>
  <si>
    <t>Sifão plástico para lavatório 1 1/4, fornecimento e instalação</t>
  </si>
  <si>
    <t>Saboneteira sobr aço inoxidável fornecimento/instalação fixa parede</t>
  </si>
  <si>
    <t>Registro de gaveta 1", fornecimento e instalação</t>
  </si>
  <si>
    <t>Entrada energia eletrica, poste concreto, inclusive cabeamento, caixa de proteção para medidor e aterramento.</t>
  </si>
  <si>
    <t>Cabo de cobre flexível 2,5mm² fornecimento e instalação</t>
  </si>
  <si>
    <t>Cabo de cobre flexível 1,5mm²  fornecimento e instalação</t>
  </si>
  <si>
    <t>Cabo de cobre flexível 4mm²  fornecimento e instalação</t>
  </si>
  <si>
    <t>Caixa de passagem PVC 4x2(1,30)fornecimento e instalação</t>
  </si>
  <si>
    <t>Disjuntor monopolar 10A 30A fornecimento e instalação</t>
  </si>
  <si>
    <t>Quadro de distribuição de energia em chapa metálica para 18 disjuntores,barramento trifásico e neutro, fornecimento/instalação</t>
  </si>
  <si>
    <t>Reaterro interno (edificações) compactado manualmente</t>
  </si>
  <si>
    <t>Concreto ciclópico fck=10 Mpa 30% de pedra de mão c/lançamento</t>
  </si>
  <si>
    <t>Lançamento/aplicação manual de concreto em fundações(viga)</t>
  </si>
  <si>
    <t>Forma tabua p/concreto fundação, c/ reaproveitamento 2x.(viga)</t>
  </si>
  <si>
    <t>Armação de pilar ou viga de uma estrutura convencional de concreto armado em uma edifícação térrea ou sobrado utilizando aço ca-50 de 10.0 mm - montagem. af_12/2015(viga)</t>
  </si>
  <si>
    <t>Concreto simples tipo B, fabricado na obra,fck 20 mpa(viga)s/lanç.</t>
  </si>
  <si>
    <t>Vidro temperado incolor, espessura 8mm, fornecimento e instalacao, inclusive massa de vedação</t>
  </si>
  <si>
    <t>Revestimento cerâmico para piso com placas tipo grês de dimensões 60x60 cm área maior que 10 M2.</t>
  </si>
  <si>
    <t>Revestimento cerâmico para piso com placas tipo grês de dimensões 60x60 cm área entre 5 M2 E 10 M2.</t>
  </si>
  <si>
    <t>um</t>
  </si>
  <si>
    <t>Placa de Obra em chapa de aço galvanizado</t>
  </si>
  <si>
    <t>15.1.15</t>
  </si>
  <si>
    <t>15.1.16</t>
  </si>
  <si>
    <t>Interruptor simples (1 módulo), 10a/250v, incluindo suporte e placa -fornecimento e instalação.</t>
  </si>
  <si>
    <t>Interruptor simples (2 módulos), 10a/250v, incluindo suporte e placa fornecimento e instalação.</t>
  </si>
  <si>
    <t>Interruptor simples (3 módulos), 10a/250v, incluindo suporte e placa -fornecimento e instalação.</t>
  </si>
  <si>
    <t>Tomada média de embutir (1 módulo), 2p+t 10 a, incluindo suporte e placa - fornecimento e instalação.</t>
  </si>
  <si>
    <t>Tomada baixa de embutir (1 módulo), 2p+t 10 a, incluindo suporte e placa - fornecimento e instalação.</t>
  </si>
  <si>
    <t>Tomada alta de embutir (1 módulo), 2p+t 10 a, incluindo suporte e placa - fornecimento e instalação.</t>
  </si>
  <si>
    <t>Alvenaria tijolo cerâmico furado, 9x19x19cm,1/2 vez (espessura 9 cm), assentado em argamassa traco 1:4 (cimento e areia media não peneirada), preparo manual, junta</t>
  </si>
  <si>
    <t>Alvenaria tijolo cerâmico furado, 9x19x19cm,1 vez (espessura 19 cm), assentado em argamassa traco 1:4 (cimento e areia media não peneirada), preparo manual, junta</t>
  </si>
  <si>
    <t>Lançamento com uso de baldes, adensamento e acabamento de concreto</t>
  </si>
  <si>
    <t>Montagem e desmontagem de fôrma de pilares retangulares e estruturas similares com área média das seções menor ou igual a 0,25 m², pé-direito simples, em madeira serrada, 4 utilizações. af_12/2015</t>
  </si>
  <si>
    <t>Montagem e desmontagem de fôrma de viga, escoramento com pontalete demadeira, pé-direito simples, em madeira serrada, 2 utilizações. af_12/2015</t>
  </si>
  <si>
    <t xml:space="preserve">Revestimento cerâmico para paredes internas com placa tipo grês ou semi-grês de dimensões 33x45 cm aplicadas em ambientes de área maior que 5 m² a meia altura das paredes. af_06/2014
</t>
  </si>
  <si>
    <t>Kit de porta de madeira para pintura, semi-oca (leve ou média), padrão médio, 80x210cm, espessura de 3,5cm, itens inclusos: dobradiças, montagem e instalação do batente, sem fechadura - fornecimento e instalação. Af_08/2015</t>
  </si>
  <si>
    <t>Limpeza mecanizada de terreno com remoção de camada vegetal, utilizando moto niveladora</t>
  </si>
</sst>
</file>

<file path=xl/styles.xml><?xml version="1.0" encoding="utf-8"?>
<styleSheet xmlns="http://schemas.openxmlformats.org/spreadsheetml/2006/main">
  <numFmts count="21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.00_-;\-* #,##0.00_-;_-* &quot;-&quot;??_-;_-@_-"/>
    <numFmt numFmtId="173" formatCode="yy\.m\.d;@"/>
    <numFmt numFmtId="174" formatCode="d\.m\.yy;@"/>
    <numFmt numFmtId="175" formatCode="0.0%"/>
    <numFmt numFmtId="176" formatCode="&quot;R$&quot;\ #,##0.00"/>
  </numFmts>
  <fonts count="44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4"/>
      <name val="Times New Roman"/>
      <family val="1"/>
    </font>
    <font>
      <sz val="12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/>
      <bottom style="thin"/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5" fillId="30" borderId="0" applyNumberFormat="0" applyBorder="0" applyAlignment="0" applyProtection="0"/>
    <xf numFmtId="0" fontId="3" fillId="31" borderId="4" applyNumberFormat="0" applyFont="0" applyAlignment="0" applyProtection="0"/>
    <xf numFmtId="9" fontId="3" fillId="0" borderId="0" applyFont="0" applyFill="0" applyBorder="0" applyAlignment="0" applyProtection="0"/>
    <xf numFmtId="0" fontId="36" fillId="20" borderId="5" applyNumberFormat="0" applyAlignment="0" applyProtection="0"/>
    <xf numFmtId="169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2" fontId="3" fillId="0" borderId="0" applyFont="0" applyFill="0" applyBorder="0" applyAlignment="0" applyProtection="0"/>
  </cellStyleXfs>
  <cellXfs count="212">
    <xf numFmtId="0" fontId="0" fillId="0" borderId="0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8" fillId="32" borderId="10" xfId="0" applyNumberFormat="1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indent="1"/>
    </xf>
    <xf numFmtId="0" fontId="7" fillId="0" borderId="0" xfId="0" applyFont="1" applyFill="1" applyBorder="1" applyAlignment="1">
      <alignment horizontal="left" vertical="top" indent="1"/>
    </xf>
    <xf numFmtId="0" fontId="7" fillId="0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176" fontId="6" fillId="32" borderId="27" xfId="6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1" fontId="7" fillId="0" borderId="10" xfId="0" applyNumberFormat="1" applyFont="1" applyFill="1" applyBorder="1" applyAlignment="1">
      <alignment horizontal="left" vertical="center" wrapText="1"/>
    </xf>
    <xf numFmtId="1" fontId="7" fillId="0" borderId="28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top" wrapText="1"/>
    </xf>
    <xf numFmtId="4" fontId="5" fillId="32" borderId="10" xfId="0" applyNumberFormat="1" applyFont="1" applyFill="1" applyBorder="1" applyAlignment="1">
      <alignment horizontal="center" vertical="center" wrapText="1"/>
    </xf>
    <xf numFmtId="9" fontId="5" fillId="32" borderId="10" xfId="0" applyNumberFormat="1" applyFont="1" applyFill="1" applyBorder="1" applyAlignment="1">
      <alignment horizontal="center" vertical="center" wrapText="1"/>
    </xf>
    <xf numFmtId="10" fontId="5" fillId="32" borderId="10" xfId="0" applyNumberFormat="1" applyFont="1" applyFill="1" applyBorder="1" applyAlignment="1">
      <alignment horizontal="center" vertical="center" wrapText="1"/>
    </xf>
    <xf numFmtId="175" fontId="5" fillId="32" borderId="10" xfId="0" applyNumberFormat="1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vertical="center"/>
    </xf>
    <xf numFmtId="0" fontId="4" fillId="32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top"/>
    </xf>
    <xf numFmtId="2" fontId="7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left" vertical="top"/>
    </xf>
    <xf numFmtId="0" fontId="7" fillId="34" borderId="10" xfId="0" applyFont="1" applyFill="1" applyBorder="1" applyAlignment="1">
      <alignment horizontal="left" vertical="top" wrapText="1"/>
    </xf>
    <xf numFmtId="174" fontId="2" fillId="0" borderId="11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vertical="top" wrapText="1"/>
    </xf>
    <xf numFmtId="0" fontId="7" fillId="34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4" fillId="32" borderId="21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2" fillId="32" borderId="32" xfId="0" applyNumberFormat="1" applyFont="1" applyFill="1" applyBorder="1" applyAlignment="1">
      <alignment vertical="top" wrapText="1"/>
    </xf>
    <xf numFmtId="2" fontId="6" fillId="0" borderId="10" xfId="6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top"/>
    </xf>
    <xf numFmtId="2" fontId="2" fillId="0" borderId="18" xfId="0" applyNumberFormat="1" applyFont="1" applyFill="1" applyBorder="1" applyAlignment="1">
      <alignment horizontal="left" vertical="top"/>
    </xf>
    <xf numFmtId="2" fontId="8" fillId="0" borderId="10" xfId="0" applyNumberFormat="1" applyFont="1" applyFill="1" applyBorder="1" applyAlignment="1">
      <alignment horizont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6" fillId="0" borderId="34" xfId="0" applyNumberFormat="1" applyFont="1" applyFill="1" applyBorder="1" applyAlignment="1">
      <alignment horizontal="center" vertical="center" wrapText="1"/>
    </xf>
    <xf numFmtId="2" fontId="2" fillId="32" borderId="32" xfId="0" applyNumberFormat="1" applyFont="1" applyFill="1" applyBorder="1" applyAlignment="1">
      <alignment vertical="center" wrapText="1"/>
    </xf>
    <xf numFmtId="2" fontId="6" fillId="0" borderId="3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center" vertical="top" wrapText="1"/>
    </xf>
    <xf numFmtId="0" fontId="2" fillId="32" borderId="32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8" fillId="32" borderId="16" xfId="0" applyFont="1" applyFill="1" applyBorder="1" applyAlignment="1">
      <alignment horizontal="left" vertical="top" wrapText="1"/>
    </xf>
    <xf numFmtId="0" fontId="6" fillId="32" borderId="16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top" wrapText="1"/>
    </xf>
    <xf numFmtId="0" fontId="2" fillId="32" borderId="2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6" fillId="32" borderId="39" xfId="0" applyFont="1" applyFill="1" applyBorder="1" applyAlignment="1">
      <alignment horizontal="center" vertic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 wrapText="1"/>
    </xf>
    <xf numFmtId="2" fontId="7" fillId="0" borderId="43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44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2" fillId="0" borderId="45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4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32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top"/>
    </xf>
    <xf numFmtId="0" fontId="3" fillId="0" borderId="47" xfId="0" applyFont="1" applyFill="1" applyBorder="1" applyAlignment="1">
      <alignment horizontal="center" vertical="top"/>
    </xf>
    <xf numFmtId="0" fontId="3" fillId="0" borderId="48" xfId="0" applyFont="1" applyFill="1" applyBorder="1" applyAlignment="1">
      <alignment horizontal="center" vertical="top"/>
    </xf>
    <xf numFmtId="0" fontId="4" fillId="32" borderId="11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zoomScalePageLayoutView="0" workbookViewId="0" topLeftCell="A135">
      <selection activeCell="G145" sqref="G145"/>
    </sheetView>
  </sheetViews>
  <sheetFormatPr defaultColWidth="9.33203125" defaultRowHeight="12.75"/>
  <cols>
    <col min="1" max="1" width="10.33203125" style="4" bestFit="1" customWidth="1"/>
    <col min="2" max="2" width="70.83203125" style="4" customWidth="1"/>
    <col min="3" max="3" width="7.33203125" style="4" bestFit="1" customWidth="1"/>
    <col min="4" max="4" width="19.66015625" style="130" bestFit="1" customWidth="1"/>
    <col min="5" max="5" width="16.5" style="99" bestFit="1" customWidth="1"/>
    <col min="6" max="6" width="20" style="99" bestFit="1" customWidth="1"/>
    <col min="7" max="7" width="22.33203125" style="4" bestFit="1" customWidth="1"/>
    <col min="8" max="8" width="13.33203125" style="4" bestFit="1" customWidth="1"/>
    <col min="9" max="9" width="12.5" style="4" bestFit="1" customWidth="1"/>
    <col min="10" max="16384" width="9.33203125" style="4" customWidth="1"/>
  </cols>
  <sheetData>
    <row r="1" spans="1:7" ht="18" customHeight="1">
      <c r="A1" s="168" t="s">
        <v>18</v>
      </c>
      <c r="B1" s="143"/>
      <c r="C1" s="143"/>
      <c r="D1" s="143"/>
      <c r="E1" s="143"/>
      <c r="F1" s="143"/>
      <c r="G1" s="169"/>
    </row>
    <row r="2" spans="1:7" ht="18" customHeight="1">
      <c r="A2" s="21" t="s">
        <v>19</v>
      </c>
      <c r="B2" s="170" t="s">
        <v>198</v>
      </c>
      <c r="C2" s="171"/>
      <c r="D2" s="171"/>
      <c r="E2" s="171"/>
      <c r="F2" s="171"/>
      <c r="G2" s="172"/>
    </row>
    <row r="3" spans="1:7" ht="18" customHeight="1">
      <c r="A3" s="21" t="s">
        <v>20</v>
      </c>
      <c r="B3" s="170" t="s">
        <v>147</v>
      </c>
      <c r="C3" s="171"/>
      <c r="D3" s="171"/>
      <c r="E3" s="171"/>
      <c r="F3" s="171"/>
      <c r="G3" s="172"/>
    </row>
    <row r="4" spans="1:7" ht="18" customHeight="1">
      <c r="A4" s="21" t="s">
        <v>21</v>
      </c>
      <c r="B4" s="25" t="s">
        <v>22</v>
      </c>
      <c r="C4" s="21" t="s">
        <v>23</v>
      </c>
      <c r="D4" s="40">
        <v>0.2668</v>
      </c>
      <c r="E4" s="177"/>
      <c r="F4" s="178"/>
      <c r="G4" s="179"/>
    </row>
    <row r="5" spans="1:7" ht="18" customHeight="1">
      <c r="A5" s="28"/>
      <c r="B5" s="29"/>
      <c r="C5" s="157" t="s">
        <v>24</v>
      </c>
      <c r="D5" s="173" t="s">
        <v>137</v>
      </c>
      <c r="E5" s="159" t="s">
        <v>138</v>
      </c>
      <c r="F5" s="175" t="s">
        <v>139</v>
      </c>
      <c r="G5" s="157" t="s">
        <v>140</v>
      </c>
    </row>
    <row r="6" spans="1:7" ht="18" customHeight="1">
      <c r="A6" s="17" t="s">
        <v>0</v>
      </c>
      <c r="B6" s="21" t="s">
        <v>25</v>
      </c>
      <c r="C6" s="158"/>
      <c r="D6" s="174"/>
      <c r="E6" s="160"/>
      <c r="F6" s="176"/>
      <c r="G6" s="158"/>
    </row>
    <row r="7" spans="1:7" ht="18" customHeight="1">
      <c r="A7" s="18" t="s">
        <v>26</v>
      </c>
      <c r="B7" s="9" t="s">
        <v>2</v>
      </c>
      <c r="C7" s="161"/>
      <c r="D7" s="162"/>
      <c r="E7" s="162"/>
      <c r="F7" s="163"/>
      <c r="G7" s="2"/>
    </row>
    <row r="8" spans="1:7" ht="31.5">
      <c r="A8" s="17" t="s">
        <v>27</v>
      </c>
      <c r="B8" s="8" t="s">
        <v>288</v>
      </c>
      <c r="C8" s="17" t="s">
        <v>32</v>
      </c>
      <c r="D8" s="24">
        <v>360</v>
      </c>
      <c r="E8" s="24">
        <f>0.49*D1+0.49</f>
        <v>0.49</v>
      </c>
      <c r="F8" s="24">
        <f>D8*E8</f>
        <v>176.4</v>
      </c>
      <c r="G8" s="17" t="s">
        <v>28</v>
      </c>
    </row>
    <row r="9" spans="1:7" ht="18" customHeight="1">
      <c r="A9" s="143"/>
      <c r="B9" s="143"/>
      <c r="C9" s="164"/>
      <c r="D9" s="127" t="s">
        <v>29</v>
      </c>
      <c r="E9" s="111">
        <f>SUM(E8)</f>
        <v>0.49</v>
      </c>
      <c r="F9" s="27">
        <f>SUM(F8)</f>
        <v>176.4</v>
      </c>
      <c r="G9" s="1"/>
    </row>
    <row r="10" spans="1:7" ht="18" customHeight="1">
      <c r="A10" s="18" t="s">
        <v>30</v>
      </c>
      <c r="B10" s="9" t="s">
        <v>3</v>
      </c>
      <c r="C10" s="154"/>
      <c r="D10" s="155"/>
      <c r="E10" s="155"/>
      <c r="F10" s="156"/>
      <c r="G10" s="2"/>
    </row>
    <row r="11" spans="1:8" ht="18" customHeight="1">
      <c r="A11" s="17" t="s">
        <v>31</v>
      </c>
      <c r="B11" s="8" t="s">
        <v>272</v>
      </c>
      <c r="C11" s="17" t="s">
        <v>32</v>
      </c>
      <c r="D11" s="63">
        <v>2.5</v>
      </c>
      <c r="E11" s="24">
        <f>206.51*D4+206.51</f>
        <v>261.60686799999996</v>
      </c>
      <c r="F11" s="24">
        <f>D11*E11</f>
        <v>654.0171699999999</v>
      </c>
      <c r="G11" s="17" t="s">
        <v>33</v>
      </c>
      <c r="H11" s="4">
        <v>206.51</v>
      </c>
    </row>
    <row r="12" spans="1:7" ht="18" customHeight="1">
      <c r="A12" s="143"/>
      <c r="B12" s="143"/>
      <c r="C12" s="143"/>
      <c r="D12" s="127" t="s">
        <v>29</v>
      </c>
      <c r="E12" s="111">
        <f>SUM(E11:E11)</f>
        <v>261.60686799999996</v>
      </c>
      <c r="F12" s="27">
        <f>SUM(F11:F11)</f>
        <v>654.0171699999999</v>
      </c>
      <c r="G12" s="1"/>
    </row>
    <row r="13" spans="1:7" ht="18" customHeight="1">
      <c r="A13" s="18" t="s">
        <v>34</v>
      </c>
      <c r="B13" s="9" t="s">
        <v>4</v>
      </c>
      <c r="C13" s="154"/>
      <c r="D13" s="155"/>
      <c r="E13" s="155"/>
      <c r="F13" s="156"/>
      <c r="G13" s="2"/>
    </row>
    <row r="14" spans="1:8" ht="18" customHeight="1">
      <c r="A14" s="17" t="s">
        <v>35</v>
      </c>
      <c r="B14" s="8" t="s">
        <v>36</v>
      </c>
      <c r="C14" s="17" t="s">
        <v>32</v>
      </c>
      <c r="D14" s="24">
        <v>360</v>
      </c>
      <c r="E14" s="24">
        <f>6.42*D4+6.42</f>
        <v>8.132856</v>
      </c>
      <c r="F14" s="24">
        <f>D14*E14</f>
        <v>2927.82816</v>
      </c>
      <c r="G14" s="17" t="s">
        <v>37</v>
      </c>
      <c r="H14" s="4">
        <v>6.42</v>
      </c>
    </row>
    <row r="15" spans="1:8" ht="18" customHeight="1">
      <c r="A15" s="17" t="s">
        <v>38</v>
      </c>
      <c r="B15" s="8" t="s">
        <v>39</v>
      </c>
      <c r="C15" s="17" t="s">
        <v>40</v>
      </c>
      <c r="D15" s="24">
        <v>13.47</v>
      </c>
      <c r="E15" s="24">
        <f>31.26*D4+31.26</f>
        <v>39.600168000000004</v>
      </c>
      <c r="F15" s="24">
        <f>D15*E15</f>
        <v>533.4142629600001</v>
      </c>
      <c r="G15" s="61">
        <v>73481</v>
      </c>
      <c r="H15" s="4">
        <v>31.26</v>
      </c>
    </row>
    <row r="16" spans="1:8" ht="18" customHeight="1">
      <c r="A16" s="17" t="s">
        <v>41</v>
      </c>
      <c r="B16" s="8" t="s">
        <v>262</v>
      </c>
      <c r="C16" s="17" t="s">
        <v>40</v>
      </c>
      <c r="D16" s="24">
        <v>54</v>
      </c>
      <c r="E16" s="24">
        <f>42.9*D4+42.9</f>
        <v>54.34572</v>
      </c>
      <c r="F16" s="24">
        <f>D16*E16</f>
        <v>2934.66888</v>
      </c>
      <c r="G16" s="61">
        <v>55835</v>
      </c>
      <c r="H16" s="4">
        <v>42.9</v>
      </c>
    </row>
    <row r="17" spans="1:7" ht="18" customHeight="1">
      <c r="A17" s="143"/>
      <c r="B17" s="143"/>
      <c r="C17" s="143"/>
      <c r="D17" s="127" t="s">
        <v>29</v>
      </c>
      <c r="E17" s="111">
        <f>SUM(E14:E16)</f>
        <v>102.078744</v>
      </c>
      <c r="F17" s="27">
        <f>SUM(F14:F16)</f>
        <v>6395.91130296</v>
      </c>
      <c r="G17" s="1"/>
    </row>
    <row r="18" spans="1:7" ht="18" customHeight="1">
      <c r="A18" s="18" t="s">
        <v>42</v>
      </c>
      <c r="B18" s="9" t="s">
        <v>5</v>
      </c>
      <c r="C18" s="132"/>
      <c r="D18" s="133"/>
      <c r="E18" s="133"/>
      <c r="F18" s="134"/>
      <c r="G18" s="2"/>
    </row>
    <row r="19" spans="1:8" ht="18" customHeight="1">
      <c r="A19" s="17" t="s">
        <v>43</v>
      </c>
      <c r="B19" s="8" t="s">
        <v>44</v>
      </c>
      <c r="C19" s="7" t="s">
        <v>32</v>
      </c>
      <c r="D19" s="24">
        <v>360</v>
      </c>
      <c r="E19" s="24">
        <f>1.88*D4+1.88</f>
        <v>2.3815839999999997</v>
      </c>
      <c r="F19" s="24">
        <f>D19*E19</f>
        <v>857.3702399999999</v>
      </c>
      <c r="G19" s="61">
        <v>9537</v>
      </c>
      <c r="H19" s="4">
        <v>1.88</v>
      </c>
    </row>
    <row r="20" spans="1:7" ht="18" customHeight="1">
      <c r="A20" s="143"/>
      <c r="B20" s="143"/>
      <c r="C20" s="143"/>
      <c r="D20" s="127" t="s">
        <v>29</v>
      </c>
      <c r="E20" s="112">
        <f>SUM(E19)</f>
        <v>2.3815839999999997</v>
      </c>
      <c r="F20" s="27">
        <f>SUM(F19)</f>
        <v>857.3702399999999</v>
      </c>
      <c r="G20" s="1"/>
    </row>
    <row r="21" spans="1:7" ht="18" customHeight="1">
      <c r="A21" s="18" t="s">
        <v>45</v>
      </c>
      <c r="B21" s="9" t="s">
        <v>6</v>
      </c>
      <c r="C21" s="154"/>
      <c r="D21" s="155"/>
      <c r="E21" s="155"/>
      <c r="F21" s="156"/>
      <c r="G21" s="2"/>
    </row>
    <row r="22" spans="1:8" ht="18" customHeight="1">
      <c r="A22" s="17" t="s">
        <v>46</v>
      </c>
      <c r="B22" s="108" t="s">
        <v>263</v>
      </c>
      <c r="C22" s="17" t="s">
        <v>40</v>
      </c>
      <c r="D22" s="24">
        <v>19.65</v>
      </c>
      <c r="E22" s="24">
        <f>328.1*D4+328.1</f>
        <v>415.63708</v>
      </c>
      <c r="F22" s="24">
        <f>D22*E22</f>
        <v>8167.268622</v>
      </c>
      <c r="G22" s="10">
        <v>73361</v>
      </c>
      <c r="H22" s="4">
        <v>328.1</v>
      </c>
    </row>
    <row r="23" spans="1:8" ht="18" customHeight="1">
      <c r="A23" s="41" t="s">
        <v>48</v>
      </c>
      <c r="B23" s="72" t="s">
        <v>267</v>
      </c>
      <c r="C23" s="41" t="s">
        <v>199</v>
      </c>
      <c r="D23" s="63">
        <v>6.06</v>
      </c>
      <c r="E23" s="63">
        <f>346.3*D4+346.3</f>
        <v>438.69284</v>
      </c>
      <c r="F23" s="63">
        <f>D23*E23</f>
        <v>2658.4786104</v>
      </c>
      <c r="G23" s="41" t="s">
        <v>200</v>
      </c>
      <c r="H23" s="4">
        <v>346.3</v>
      </c>
    </row>
    <row r="24" spans="1:8" ht="18" customHeight="1">
      <c r="A24" s="41" t="s">
        <v>49</v>
      </c>
      <c r="B24" s="72" t="s">
        <v>264</v>
      </c>
      <c r="C24" s="41" t="s">
        <v>199</v>
      </c>
      <c r="D24" s="63">
        <v>6.06</v>
      </c>
      <c r="E24" s="63">
        <f>80.54*D4+80.54</f>
        <v>102.02807200000001</v>
      </c>
      <c r="F24" s="63">
        <f>D24*E24</f>
        <v>618.29011632</v>
      </c>
      <c r="G24" s="41" t="s">
        <v>205</v>
      </c>
      <c r="H24" s="4">
        <v>80.54</v>
      </c>
    </row>
    <row r="25" spans="1:8" ht="18" customHeight="1">
      <c r="A25" s="41" t="s">
        <v>201</v>
      </c>
      <c r="B25" s="72" t="s">
        <v>265</v>
      </c>
      <c r="C25" s="41" t="s">
        <v>202</v>
      </c>
      <c r="D25" s="63">
        <v>38.5</v>
      </c>
      <c r="E25" s="63">
        <f>48.55*D4+48.55</f>
        <v>61.503139999999995</v>
      </c>
      <c r="F25" s="63">
        <f>D25*E25</f>
        <v>2367.8708899999997</v>
      </c>
      <c r="G25" s="73">
        <v>5970</v>
      </c>
      <c r="H25" s="90">
        <v>48.55</v>
      </c>
    </row>
    <row r="26" spans="1:8" ht="47.25">
      <c r="A26" s="17" t="s">
        <v>204</v>
      </c>
      <c r="B26" s="8" t="s">
        <v>266</v>
      </c>
      <c r="C26" s="17" t="s">
        <v>203</v>
      </c>
      <c r="D26" s="24">
        <v>277.16</v>
      </c>
      <c r="E26" s="24">
        <f>7.75*D4+7.75</f>
        <v>9.8177</v>
      </c>
      <c r="F26" s="24">
        <f>D26*E26</f>
        <v>2721.0737320000003</v>
      </c>
      <c r="G26" s="41">
        <v>92778</v>
      </c>
      <c r="H26" s="4">
        <v>7.75</v>
      </c>
    </row>
    <row r="27" spans="1:7" ht="18" customHeight="1">
      <c r="A27" s="143"/>
      <c r="B27" s="143"/>
      <c r="C27" s="143"/>
      <c r="D27" s="127" t="s">
        <v>29</v>
      </c>
      <c r="E27" s="112">
        <f>SUM(E22:E26)</f>
        <v>1027.678832</v>
      </c>
      <c r="F27" s="27">
        <f>SUM(F22:F26)</f>
        <v>16532.98197072</v>
      </c>
      <c r="G27" s="22"/>
    </row>
    <row r="28" spans="1:7" ht="18" customHeight="1">
      <c r="A28" s="18" t="s">
        <v>50</v>
      </c>
      <c r="B28" s="9" t="s">
        <v>7</v>
      </c>
      <c r="C28" s="132"/>
      <c r="D28" s="133"/>
      <c r="E28" s="133"/>
      <c r="F28" s="134"/>
      <c r="G28" s="2"/>
    </row>
    <row r="29" spans="1:7" ht="18" customHeight="1">
      <c r="A29" s="18" t="s">
        <v>51</v>
      </c>
      <c r="B29" s="9" t="s">
        <v>52</v>
      </c>
      <c r="C29" s="132"/>
      <c r="D29" s="133"/>
      <c r="E29" s="133"/>
      <c r="F29" s="134"/>
      <c r="G29" s="2"/>
    </row>
    <row r="30" spans="1:8" ht="47.25" customHeight="1">
      <c r="A30" s="17" t="s">
        <v>53</v>
      </c>
      <c r="B30" s="106" t="s">
        <v>284</v>
      </c>
      <c r="C30" s="17" t="s">
        <v>32</v>
      </c>
      <c r="D30" s="24">
        <v>14.4</v>
      </c>
      <c r="E30" s="24">
        <f>58.42*D4+58.42</f>
        <v>74.006456</v>
      </c>
      <c r="F30" s="24">
        <f>D30*E30</f>
        <v>1065.6929664</v>
      </c>
      <c r="G30" s="17">
        <v>92412</v>
      </c>
      <c r="H30" s="4">
        <v>58.42</v>
      </c>
    </row>
    <row r="31" spans="1:8" ht="47.25">
      <c r="A31" s="17" t="s">
        <v>54</v>
      </c>
      <c r="B31" s="8" t="s">
        <v>221</v>
      </c>
      <c r="C31" s="17" t="s">
        <v>55</v>
      </c>
      <c r="D31" s="63">
        <v>90.72</v>
      </c>
      <c r="E31" s="24">
        <f>7.75*D4+7.75</f>
        <v>9.8177</v>
      </c>
      <c r="F31" s="24">
        <f>D31*E31</f>
        <v>890.661744</v>
      </c>
      <c r="G31" s="17">
        <v>92778</v>
      </c>
      <c r="H31" s="4">
        <v>7.75</v>
      </c>
    </row>
    <row r="32" spans="1:8" ht="15.75">
      <c r="A32" s="17" t="s">
        <v>56</v>
      </c>
      <c r="B32" s="72" t="s">
        <v>222</v>
      </c>
      <c r="C32" s="17" t="s">
        <v>40</v>
      </c>
      <c r="D32" s="24">
        <v>1.45</v>
      </c>
      <c r="E32" s="24">
        <f>346.3*D4+346.3</f>
        <v>438.69284</v>
      </c>
      <c r="F32" s="24">
        <f>D32*E32</f>
        <v>636.104618</v>
      </c>
      <c r="G32" s="41" t="s">
        <v>200</v>
      </c>
      <c r="H32" s="4">
        <v>346.3</v>
      </c>
    </row>
    <row r="33" spans="1:8" ht="31.5">
      <c r="A33" s="17" t="s">
        <v>206</v>
      </c>
      <c r="B33" s="72" t="s">
        <v>283</v>
      </c>
      <c r="C33" s="17" t="s">
        <v>40</v>
      </c>
      <c r="D33" s="24">
        <v>1.45</v>
      </c>
      <c r="E33" s="24">
        <f>126.27*D4+126.27</f>
        <v>159.958836</v>
      </c>
      <c r="F33" s="24">
        <f>D33*E33</f>
        <v>231.9403122</v>
      </c>
      <c r="G33" s="41">
        <v>92873</v>
      </c>
      <c r="H33" s="4">
        <v>126.27</v>
      </c>
    </row>
    <row r="34" spans="1:7" ht="18" customHeight="1">
      <c r="A34" s="18" t="s">
        <v>57</v>
      </c>
      <c r="B34" s="9" t="s">
        <v>58</v>
      </c>
      <c r="C34" s="154"/>
      <c r="D34" s="155"/>
      <c r="E34" s="155"/>
      <c r="F34" s="156"/>
      <c r="G34" s="2"/>
    </row>
    <row r="35" spans="1:8" ht="47.25">
      <c r="A35" s="17" t="s">
        <v>59</v>
      </c>
      <c r="B35" s="8" t="s">
        <v>285</v>
      </c>
      <c r="C35" s="17" t="s">
        <v>32</v>
      </c>
      <c r="D35" s="24">
        <v>38.5</v>
      </c>
      <c r="E35" s="24">
        <f>78.63*D4+78.63</f>
        <v>99.60848399999999</v>
      </c>
      <c r="F35" s="24">
        <f>D35*E35</f>
        <v>3834.9266339999995</v>
      </c>
      <c r="G35" s="17">
        <v>92447</v>
      </c>
      <c r="H35" s="4">
        <v>78.63</v>
      </c>
    </row>
    <row r="36" spans="1:8" ht="47.25">
      <c r="A36" s="17" t="s">
        <v>60</v>
      </c>
      <c r="B36" s="8" t="s">
        <v>221</v>
      </c>
      <c r="C36" s="17" t="s">
        <v>55</v>
      </c>
      <c r="D36" s="63">
        <v>277.16</v>
      </c>
      <c r="E36" s="24">
        <f>7.75*D4+7.75</f>
        <v>9.8177</v>
      </c>
      <c r="F36" s="24">
        <f>D36*E36</f>
        <v>2721.0737320000003</v>
      </c>
      <c r="G36" s="17">
        <v>92778</v>
      </c>
      <c r="H36" s="4">
        <v>7.75</v>
      </c>
    </row>
    <row r="37" spans="1:8" ht="18" customHeight="1">
      <c r="A37" s="17" t="s">
        <v>61</v>
      </c>
      <c r="B37" s="72" t="s">
        <v>222</v>
      </c>
      <c r="C37" s="17" t="s">
        <v>40</v>
      </c>
      <c r="D37" s="24">
        <v>5.15</v>
      </c>
      <c r="E37" s="24">
        <f>346.3*D4+346.3</f>
        <v>438.69284</v>
      </c>
      <c r="F37" s="24">
        <f>D37*E37</f>
        <v>2259.268126</v>
      </c>
      <c r="G37" s="41" t="s">
        <v>200</v>
      </c>
      <c r="H37" s="4">
        <v>346.3</v>
      </c>
    </row>
    <row r="38" spans="1:8" ht="31.5">
      <c r="A38" s="17" t="s">
        <v>207</v>
      </c>
      <c r="B38" s="72" t="s">
        <v>283</v>
      </c>
      <c r="C38" s="17" t="s">
        <v>40</v>
      </c>
      <c r="D38" s="24">
        <v>5.15</v>
      </c>
      <c r="E38" s="24">
        <f>126.27*D4+126.27</f>
        <v>159.958836</v>
      </c>
      <c r="F38" s="24">
        <f>D38*E38</f>
        <v>823.7880054</v>
      </c>
      <c r="G38" s="41">
        <v>92873</v>
      </c>
      <c r="H38" s="4">
        <v>126.27</v>
      </c>
    </row>
    <row r="39" spans="1:7" ht="18" customHeight="1">
      <c r="A39" s="143"/>
      <c r="B39" s="143"/>
      <c r="C39" s="143"/>
      <c r="D39" s="127" t="s">
        <v>29</v>
      </c>
      <c r="E39" s="113">
        <f>SUM(E30:E33,E35:E38)</f>
        <v>1390.553692</v>
      </c>
      <c r="F39" s="123">
        <f>SUM(F30:F33,F35:F38)</f>
        <v>12463.456138</v>
      </c>
      <c r="G39" s="1"/>
    </row>
    <row r="40" spans="1:7" ht="18" customHeight="1">
      <c r="A40" s="18" t="s">
        <v>62</v>
      </c>
      <c r="B40" s="9" t="s">
        <v>8</v>
      </c>
      <c r="C40" s="132"/>
      <c r="D40" s="133"/>
      <c r="E40" s="133"/>
      <c r="F40" s="134"/>
      <c r="G40" s="2"/>
    </row>
    <row r="41" spans="1:8" ht="47.25">
      <c r="A41" s="17" t="s">
        <v>63</v>
      </c>
      <c r="B41" s="8" t="s">
        <v>282</v>
      </c>
      <c r="C41" s="17" t="s">
        <v>32</v>
      </c>
      <c r="D41" s="24">
        <v>239.24</v>
      </c>
      <c r="E41" s="24">
        <f>60.9*D4+60.9</f>
        <v>77.14812</v>
      </c>
      <c r="F41" s="24">
        <f>D41*E41</f>
        <v>18456.9162288</v>
      </c>
      <c r="G41" s="17" t="s">
        <v>64</v>
      </c>
      <c r="H41" s="4">
        <v>60.9</v>
      </c>
    </row>
    <row r="42" spans="1:8" ht="47.25">
      <c r="A42" s="17" t="s">
        <v>65</v>
      </c>
      <c r="B42" s="8" t="s">
        <v>281</v>
      </c>
      <c r="C42" s="17" t="s">
        <v>32</v>
      </c>
      <c r="D42" s="24">
        <v>51</v>
      </c>
      <c r="E42" s="24">
        <f>54.14*D4+54.14</f>
        <v>68.584552</v>
      </c>
      <c r="F42" s="24">
        <f>D42*E42</f>
        <v>3497.812152</v>
      </c>
      <c r="G42" s="61">
        <v>87495</v>
      </c>
      <c r="H42" s="4">
        <v>54.14</v>
      </c>
    </row>
    <row r="43" spans="1:7" ht="18" customHeight="1">
      <c r="A43" s="143"/>
      <c r="B43" s="143"/>
      <c r="C43" s="143"/>
      <c r="D43" s="127" t="s">
        <v>29</v>
      </c>
      <c r="E43" s="113">
        <f>SUM(E41:E42)</f>
        <v>145.732672</v>
      </c>
      <c r="F43" s="123">
        <f>SUM(F41:F42)</f>
        <v>21954.7283808</v>
      </c>
      <c r="G43" s="1"/>
    </row>
    <row r="44" spans="1:7" ht="18" customHeight="1">
      <c r="A44" s="18" t="s">
        <v>66</v>
      </c>
      <c r="B44" s="9" t="s">
        <v>9</v>
      </c>
      <c r="C44" s="132"/>
      <c r="D44" s="133"/>
      <c r="E44" s="133"/>
      <c r="F44" s="134"/>
      <c r="G44" s="2"/>
    </row>
    <row r="45" spans="1:7" ht="18" customHeight="1">
      <c r="A45" s="18" t="s">
        <v>67</v>
      </c>
      <c r="B45" s="9" t="s">
        <v>68</v>
      </c>
      <c r="C45" s="132"/>
      <c r="D45" s="133"/>
      <c r="E45" s="133"/>
      <c r="F45" s="134"/>
      <c r="G45" s="2"/>
    </row>
    <row r="46" spans="1:8" ht="18" customHeight="1">
      <c r="A46" s="17" t="s">
        <v>69</v>
      </c>
      <c r="B46" s="100" t="s">
        <v>70</v>
      </c>
      <c r="C46" s="17" t="s">
        <v>32</v>
      </c>
      <c r="D46" s="24">
        <v>3.78</v>
      </c>
      <c r="E46" s="24">
        <f>351.97*D4+351.97</f>
        <v>445.87559600000003</v>
      </c>
      <c r="F46" s="24">
        <f>D46*E46</f>
        <v>1685.40975288</v>
      </c>
      <c r="G46" s="17" t="s">
        <v>71</v>
      </c>
      <c r="H46" s="4">
        <v>351.97</v>
      </c>
    </row>
    <row r="47" spans="1:7" ht="18" customHeight="1">
      <c r="A47" s="18" t="s">
        <v>72</v>
      </c>
      <c r="B47" s="9" t="s">
        <v>73</v>
      </c>
      <c r="C47" s="132"/>
      <c r="D47" s="133"/>
      <c r="E47" s="133"/>
      <c r="F47" s="134"/>
      <c r="G47" s="2"/>
    </row>
    <row r="48" spans="1:8" ht="63">
      <c r="A48" s="17" t="s">
        <v>74</v>
      </c>
      <c r="B48" s="110" t="s">
        <v>287</v>
      </c>
      <c r="C48" s="17" t="s">
        <v>24</v>
      </c>
      <c r="D48" s="24">
        <v>8</v>
      </c>
      <c r="E48" s="24">
        <f>482.48*D4+482.48</f>
        <v>611.2056640000001</v>
      </c>
      <c r="F48" s="24">
        <f>D48*E48</f>
        <v>4889.645312000001</v>
      </c>
      <c r="G48" s="17">
        <v>90849</v>
      </c>
      <c r="H48" s="4">
        <v>482.48</v>
      </c>
    </row>
    <row r="49" spans="1:7" ht="18" customHeight="1">
      <c r="A49" s="18" t="s">
        <v>75</v>
      </c>
      <c r="B49" s="9" t="s">
        <v>76</v>
      </c>
      <c r="C49" s="132"/>
      <c r="D49" s="133"/>
      <c r="E49" s="133"/>
      <c r="F49" s="134"/>
      <c r="G49" s="2"/>
    </row>
    <row r="50" spans="1:10" ht="31.5">
      <c r="A50" s="17" t="s">
        <v>77</v>
      </c>
      <c r="B50" s="8" t="s">
        <v>148</v>
      </c>
      <c r="C50" s="17" t="s">
        <v>24</v>
      </c>
      <c r="D50" s="24">
        <v>4</v>
      </c>
      <c r="E50" s="24">
        <f>1882.9*D4+1882.9</f>
        <v>2385.25772</v>
      </c>
      <c r="F50" s="24">
        <f>D50*E50</f>
        <v>9541.03088</v>
      </c>
      <c r="G50" s="17" t="s">
        <v>78</v>
      </c>
      <c r="H50" s="91"/>
      <c r="I50" s="91"/>
      <c r="J50" s="91"/>
    </row>
    <row r="51" spans="1:8" ht="31.5">
      <c r="A51" s="17" t="s">
        <v>79</v>
      </c>
      <c r="B51" s="8" t="s">
        <v>268</v>
      </c>
      <c r="C51" s="17" t="s">
        <v>32</v>
      </c>
      <c r="D51" s="24">
        <v>55.68</v>
      </c>
      <c r="E51" s="24">
        <f>173.73*D4+173.73</f>
        <v>220.081164</v>
      </c>
      <c r="F51" s="24">
        <f>D51*E51</f>
        <v>12254.11921152</v>
      </c>
      <c r="G51" s="61">
        <v>72119</v>
      </c>
      <c r="H51" s="4">
        <v>173.73</v>
      </c>
    </row>
    <row r="52" spans="1:7" ht="18" customHeight="1">
      <c r="A52" s="143"/>
      <c r="B52" s="143"/>
      <c r="C52" s="143"/>
      <c r="D52" s="127" t="s">
        <v>29</v>
      </c>
      <c r="E52" s="112">
        <f>SUM(E46:E46,E48:E48,E50:E51)</f>
        <v>3662.4201440000006</v>
      </c>
      <c r="F52" s="27">
        <f>SUM(F46:F46,F48:F48,F50:F51)</f>
        <v>28370.2051564</v>
      </c>
      <c r="G52" s="1"/>
    </row>
    <row r="53" spans="1:7" ht="18" customHeight="1">
      <c r="A53" s="18" t="s">
        <v>80</v>
      </c>
      <c r="B53" s="9" t="s">
        <v>10</v>
      </c>
      <c r="C53" s="132"/>
      <c r="D53" s="133"/>
      <c r="E53" s="133"/>
      <c r="F53" s="134"/>
      <c r="G53" s="2"/>
    </row>
    <row r="54" spans="1:8" ht="18" customHeight="1">
      <c r="A54" s="17" t="s">
        <v>81</v>
      </c>
      <c r="B54" s="8" t="s">
        <v>82</v>
      </c>
      <c r="C54" s="17" t="s">
        <v>47</v>
      </c>
      <c r="D54" s="24">
        <v>2</v>
      </c>
      <c r="E54" s="24">
        <f>67.33*D4+67.33</f>
        <v>85.293644</v>
      </c>
      <c r="F54" s="24">
        <f>D54*E54</f>
        <v>170.587288</v>
      </c>
      <c r="G54" s="10">
        <v>84161</v>
      </c>
      <c r="H54" s="4">
        <v>67.33</v>
      </c>
    </row>
    <row r="55" spans="1:7" ht="18" customHeight="1">
      <c r="A55" s="143"/>
      <c r="B55" s="143"/>
      <c r="C55" s="143"/>
      <c r="D55" s="127" t="s">
        <v>29</v>
      </c>
      <c r="E55" s="111">
        <f>SUM(E54:E54)</f>
        <v>85.293644</v>
      </c>
      <c r="F55" s="26">
        <f>SUM(F54:F54)</f>
        <v>170.587288</v>
      </c>
      <c r="G55" s="1"/>
    </row>
    <row r="56" spans="1:7" ht="18" customHeight="1">
      <c r="A56" s="18">
        <v>10</v>
      </c>
      <c r="B56" s="9" t="s">
        <v>11</v>
      </c>
      <c r="C56" s="132"/>
      <c r="D56" s="133"/>
      <c r="E56" s="133"/>
      <c r="F56" s="134"/>
      <c r="G56" s="2"/>
    </row>
    <row r="57" spans="1:8" ht="47.25">
      <c r="A57" s="17" t="s">
        <v>83</v>
      </c>
      <c r="B57" s="8" t="s">
        <v>85</v>
      </c>
      <c r="C57" s="17" t="s">
        <v>32</v>
      </c>
      <c r="D57" s="24">
        <v>46.2</v>
      </c>
      <c r="E57" s="24">
        <f>7.59*D4+7.59</f>
        <v>9.615012</v>
      </c>
      <c r="F57" s="24">
        <f>D57*E57</f>
        <v>444.2135544</v>
      </c>
      <c r="G57" s="17" t="s">
        <v>86</v>
      </c>
      <c r="H57" s="4">
        <v>7.59</v>
      </c>
    </row>
    <row r="58" spans="1:7" ht="18" customHeight="1">
      <c r="A58" s="142"/>
      <c r="B58" s="142"/>
      <c r="C58" s="142"/>
      <c r="D58" s="127" t="s">
        <v>29</v>
      </c>
      <c r="E58" s="111">
        <f>SUM(E57)</f>
        <v>9.615012</v>
      </c>
      <c r="F58" s="26">
        <f>SUM(F57)</f>
        <v>444.2135544</v>
      </c>
      <c r="G58" s="1"/>
    </row>
    <row r="59" spans="1:7" ht="18" customHeight="1">
      <c r="A59" s="19">
        <v>11</v>
      </c>
      <c r="B59" s="12" t="s">
        <v>12</v>
      </c>
      <c r="C59" s="132"/>
      <c r="D59" s="133"/>
      <c r="E59" s="133"/>
      <c r="F59" s="134"/>
      <c r="G59" s="2"/>
    </row>
    <row r="60" spans="1:7" ht="18" customHeight="1">
      <c r="A60" s="18" t="s">
        <v>84</v>
      </c>
      <c r="B60" s="12" t="s">
        <v>89</v>
      </c>
      <c r="C60" s="30"/>
      <c r="D60" s="128"/>
      <c r="E60" s="114"/>
      <c r="F60" s="114"/>
      <c r="G60" s="31"/>
    </row>
    <row r="61" spans="1:8" ht="31.5">
      <c r="A61" s="20" t="s">
        <v>149</v>
      </c>
      <c r="B61" s="13" t="s">
        <v>90</v>
      </c>
      <c r="C61" s="17" t="s">
        <v>32</v>
      </c>
      <c r="D61" s="24">
        <v>541.21</v>
      </c>
      <c r="E61" s="24">
        <f>2.85*D4+2.85</f>
        <v>3.61038</v>
      </c>
      <c r="F61" s="24">
        <f>D61*E61</f>
        <v>1953.9737598000002</v>
      </c>
      <c r="G61" s="61">
        <v>87878</v>
      </c>
      <c r="H61" s="4">
        <v>2.85</v>
      </c>
    </row>
    <row r="62" spans="1:8" ht="31.5">
      <c r="A62" s="20" t="s">
        <v>150</v>
      </c>
      <c r="B62" s="13" t="s">
        <v>91</v>
      </c>
      <c r="C62" s="17" t="s">
        <v>32</v>
      </c>
      <c r="D62" s="24">
        <v>541.21</v>
      </c>
      <c r="E62" s="24">
        <f>17.92*D4+17.92</f>
        <v>22.701056</v>
      </c>
      <c r="F62" s="24">
        <f>D62*E62</f>
        <v>12286.038517760002</v>
      </c>
      <c r="G62" s="61">
        <v>87546</v>
      </c>
      <c r="H62" s="4">
        <v>17.92</v>
      </c>
    </row>
    <row r="63" spans="1:8" ht="31.5">
      <c r="A63" s="20" t="s">
        <v>151</v>
      </c>
      <c r="B63" s="13" t="s">
        <v>92</v>
      </c>
      <c r="C63" s="17" t="s">
        <v>32</v>
      </c>
      <c r="D63" s="24">
        <v>466.01</v>
      </c>
      <c r="E63" s="24">
        <f>21.02*D4+21.02</f>
        <v>26.628135999999998</v>
      </c>
      <c r="F63" s="24">
        <f>D63*E63</f>
        <v>12408.97765736</v>
      </c>
      <c r="G63" s="61">
        <v>84074</v>
      </c>
      <c r="H63" s="4">
        <v>21.02</v>
      </c>
    </row>
    <row r="64" spans="1:8" ht="47.25" customHeight="1">
      <c r="A64" s="20" t="s">
        <v>152</v>
      </c>
      <c r="B64" s="13" t="s">
        <v>286</v>
      </c>
      <c r="C64" s="62" t="s">
        <v>32</v>
      </c>
      <c r="D64" s="58">
        <v>75.2</v>
      </c>
      <c r="E64" s="58">
        <f>55.28*D4+55.28</f>
        <v>70.028704</v>
      </c>
      <c r="F64" s="58">
        <f>D64*E64</f>
        <v>5266.158540800001</v>
      </c>
      <c r="G64" s="17">
        <v>87275</v>
      </c>
      <c r="H64" s="4">
        <v>55.28</v>
      </c>
    </row>
    <row r="65" spans="1:7" ht="18" customHeight="1">
      <c r="A65" s="165"/>
      <c r="B65" s="166"/>
      <c r="C65" s="65"/>
      <c r="D65" s="66" t="s">
        <v>29</v>
      </c>
      <c r="E65" s="66">
        <f>SUM(E61:E64)</f>
        <v>122.968276</v>
      </c>
      <c r="F65" s="66">
        <f>SUM(F61:F64)</f>
        <v>31915.14847572</v>
      </c>
      <c r="G65" s="64"/>
    </row>
    <row r="66" spans="1:7" ht="18" customHeight="1">
      <c r="A66" s="11">
        <v>12</v>
      </c>
      <c r="B66" s="14" t="s">
        <v>13</v>
      </c>
      <c r="C66" s="161"/>
      <c r="D66" s="162"/>
      <c r="E66" s="162"/>
      <c r="F66" s="163"/>
      <c r="G66" s="2"/>
    </row>
    <row r="67" spans="1:8" ht="18" customHeight="1">
      <c r="A67" s="17" t="s">
        <v>88</v>
      </c>
      <c r="B67" s="13" t="s">
        <v>94</v>
      </c>
      <c r="C67" s="17" t="s">
        <v>40</v>
      </c>
      <c r="D67" s="24">
        <v>10.8</v>
      </c>
      <c r="E67" s="24">
        <f>71.87*D4+71.87</f>
        <v>91.044916</v>
      </c>
      <c r="F67" s="24">
        <f>D67*E67</f>
        <v>983.2850928</v>
      </c>
      <c r="G67" s="17" t="s">
        <v>95</v>
      </c>
      <c r="H67" s="4">
        <v>71.87</v>
      </c>
    </row>
    <row r="68" spans="1:8" ht="31.5">
      <c r="A68" s="17" t="s">
        <v>87</v>
      </c>
      <c r="B68" s="13" t="s">
        <v>97</v>
      </c>
      <c r="C68" s="17" t="s">
        <v>32</v>
      </c>
      <c r="D68" s="24">
        <v>360</v>
      </c>
      <c r="E68" s="24">
        <f>25.24*D4+25.24</f>
        <v>31.974031999999998</v>
      </c>
      <c r="F68" s="24">
        <f>D68*E68</f>
        <v>11510.65152</v>
      </c>
      <c r="G68" s="17" t="s">
        <v>98</v>
      </c>
      <c r="H68" s="4">
        <v>25.24</v>
      </c>
    </row>
    <row r="69" spans="1:8" ht="31.5">
      <c r="A69" s="17" t="s">
        <v>153</v>
      </c>
      <c r="B69" s="13" t="s">
        <v>269</v>
      </c>
      <c r="C69" s="17" t="s">
        <v>32</v>
      </c>
      <c r="D69" s="24">
        <v>133.65</v>
      </c>
      <c r="E69" s="24">
        <f>41.27*D4+41.27</f>
        <v>52.280836</v>
      </c>
      <c r="F69" s="24">
        <f>E69*D69</f>
        <v>6987.3337314</v>
      </c>
      <c r="G69" s="61">
        <v>87257</v>
      </c>
      <c r="H69" s="4">
        <v>41.27</v>
      </c>
    </row>
    <row r="70" spans="1:8" ht="31.5">
      <c r="A70" s="17" t="s">
        <v>153</v>
      </c>
      <c r="B70" s="13" t="s">
        <v>270</v>
      </c>
      <c r="C70" s="17" t="s">
        <v>32</v>
      </c>
      <c r="D70" s="24">
        <v>26</v>
      </c>
      <c r="E70" s="24">
        <f>46.04*D4+46.04</f>
        <v>58.323471999999995</v>
      </c>
      <c r="F70" s="24">
        <f>D70*E70</f>
        <v>1516.4102719999998</v>
      </c>
      <c r="G70" s="61">
        <v>87256</v>
      </c>
      <c r="H70" s="4">
        <v>46.04</v>
      </c>
    </row>
    <row r="71" spans="1:7" ht="18" customHeight="1">
      <c r="A71" s="143"/>
      <c r="B71" s="143"/>
      <c r="C71" s="143"/>
      <c r="D71" s="127" t="s">
        <v>29</v>
      </c>
      <c r="E71" s="112">
        <f>SUM(E67:E70)</f>
        <v>233.62325599999997</v>
      </c>
      <c r="F71" s="27">
        <f>SUM(F67:F70)</f>
        <v>20997.6806162</v>
      </c>
      <c r="G71" s="22"/>
    </row>
    <row r="72" spans="1:7" ht="18" customHeight="1">
      <c r="A72" s="19">
        <v>13</v>
      </c>
      <c r="B72" s="14" t="s">
        <v>14</v>
      </c>
      <c r="C72" s="132"/>
      <c r="D72" s="133"/>
      <c r="E72" s="133"/>
      <c r="F72" s="134"/>
      <c r="G72" s="2"/>
    </row>
    <row r="73" spans="1:8" ht="18" customHeight="1">
      <c r="A73" s="17" t="s">
        <v>93</v>
      </c>
      <c r="B73" s="13" t="s">
        <v>102</v>
      </c>
      <c r="C73" s="17" t="s">
        <v>32</v>
      </c>
      <c r="D73" s="24">
        <v>983.87</v>
      </c>
      <c r="E73" s="24">
        <f>1.46*D4+1.46</f>
        <v>1.8495279999999998</v>
      </c>
      <c r="F73" s="24">
        <f>D73*E73</f>
        <v>1819.6951133599998</v>
      </c>
      <c r="G73" s="61">
        <v>88485</v>
      </c>
      <c r="H73" s="4">
        <v>1.46</v>
      </c>
    </row>
    <row r="74" spans="1:8" ht="31.5">
      <c r="A74" s="17" t="s">
        <v>96</v>
      </c>
      <c r="B74" s="107" t="s">
        <v>229</v>
      </c>
      <c r="C74" s="17" t="s">
        <v>32</v>
      </c>
      <c r="D74" s="24">
        <v>983.87</v>
      </c>
      <c r="E74" s="24">
        <f>9.22*D4+9.22</f>
        <v>11.679896000000001</v>
      </c>
      <c r="F74" s="24">
        <f>D74*E74</f>
        <v>11491.49927752</v>
      </c>
      <c r="G74" s="61">
        <v>88489</v>
      </c>
      <c r="H74" s="4">
        <v>9.22</v>
      </c>
    </row>
    <row r="75" spans="1:8" ht="31.5">
      <c r="A75" s="17" t="s">
        <v>99</v>
      </c>
      <c r="B75" s="13" t="s">
        <v>105</v>
      </c>
      <c r="C75" s="17" t="s">
        <v>32</v>
      </c>
      <c r="D75" s="24">
        <v>13.44</v>
      </c>
      <c r="E75" s="24">
        <f>18.59*D4+18.59</f>
        <v>23.549812</v>
      </c>
      <c r="F75" s="24">
        <f>D75*E75</f>
        <v>316.50947327999995</v>
      </c>
      <c r="G75" s="17" t="s">
        <v>106</v>
      </c>
      <c r="H75" s="4">
        <v>18.59</v>
      </c>
    </row>
    <row r="76" spans="1:8" ht="31.5">
      <c r="A76" s="17" t="s">
        <v>100</v>
      </c>
      <c r="B76" s="13" t="s">
        <v>107</v>
      </c>
      <c r="C76" s="17" t="s">
        <v>32</v>
      </c>
      <c r="D76" s="24">
        <v>3.78</v>
      </c>
      <c r="E76" s="24">
        <f>28.29*D4+28.29</f>
        <v>35.837772</v>
      </c>
      <c r="F76" s="24">
        <f>D76*E76</f>
        <v>135.46677816</v>
      </c>
      <c r="G76" s="61">
        <v>6067</v>
      </c>
      <c r="H76" s="4">
        <v>28.29</v>
      </c>
    </row>
    <row r="77" spans="1:7" ht="18" customHeight="1">
      <c r="A77" s="143"/>
      <c r="B77" s="143"/>
      <c r="C77" s="143"/>
      <c r="D77" s="127" t="s">
        <v>29</v>
      </c>
      <c r="E77" s="112">
        <f>SUM(E73:E76)</f>
        <v>72.91700800000001</v>
      </c>
      <c r="F77" s="27">
        <f>SUM(F73:F76)</f>
        <v>13763.170642320001</v>
      </c>
      <c r="G77" s="22"/>
    </row>
    <row r="78" spans="1:7" ht="18" customHeight="1">
      <c r="A78" s="19">
        <v>14</v>
      </c>
      <c r="B78" s="14" t="s">
        <v>15</v>
      </c>
      <c r="C78" s="132"/>
      <c r="D78" s="133"/>
      <c r="E78" s="133"/>
      <c r="F78" s="134"/>
      <c r="G78" s="2"/>
    </row>
    <row r="79" spans="1:7" ht="18" customHeight="1">
      <c r="A79" s="18" t="s">
        <v>101</v>
      </c>
      <c r="B79" s="14" t="s">
        <v>109</v>
      </c>
      <c r="C79" s="30"/>
      <c r="D79" s="128"/>
      <c r="E79" s="114"/>
      <c r="F79" s="114"/>
      <c r="G79" s="31"/>
    </row>
    <row r="80" spans="1:7" ht="18" customHeight="1">
      <c r="A80" s="20" t="s">
        <v>154</v>
      </c>
      <c r="B80" s="13" t="s">
        <v>110</v>
      </c>
      <c r="C80" s="17" t="s">
        <v>47</v>
      </c>
      <c r="D80" s="24">
        <v>6.5</v>
      </c>
      <c r="E80" s="24">
        <f>12.57*D4+12.57</f>
        <v>15.923676</v>
      </c>
      <c r="F80" s="24">
        <f>D80*E80</f>
        <v>103.503894</v>
      </c>
      <c r="G80" s="17">
        <v>89356</v>
      </c>
    </row>
    <row r="81" spans="1:7" ht="18" customHeight="1">
      <c r="A81" s="20" t="s">
        <v>155</v>
      </c>
      <c r="B81" s="13" t="s">
        <v>111</v>
      </c>
      <c r="C81" s="17" t="s">
        <v>47</v>
      </c>
      <c r="D81" s="24">
        <v>32</v>
      </c>
      <c r="E81" s="24">
        <f>17.59*D4+17.59</f>
        <v>22.283012</v>
      </c>
      <c r="F81" s="24">
        <f>D81*E81</f>
        <v>713.056384</v>
      </c>
      <c r="G81" s="17">
        <v>89357</v>
      </c>
    </row>
    <row r="82" spans="1:7" ht="18" customHeight="1">
      <c r="A82" s="18" t="s">
        <v>103</v>
      </c>
      <c r="B82" s="14" t="s">
        <v>114</v>
      </c>
      <c r="C82" s="30"/>
      <c r="D82" s="128"/>
      <c r="E82" s="114"/>
      <c r="F82" s="114"/>
      <c r="G82" s="32"/>
    </row>
    <row r="83" spans="1:7" ht="18" customHeight="1">
      <c r="A83" s="20" t="s">
        <v>156</v>
      </c>
      <c r="B83" s="13" t="s">
        <v>239</v>
      </c>
      <c r="C83" s="17" t="s">
        <v>47</v>
      </c>
      <c r="D83" s="24">
        <v>9.2</v>
      </c>
      <c r="E83" s="24">
        <f>11.64*D4+11.64</f>
        <v>14.745552</v>
      </c>
      <c r="F83" s="24">
        <f aca="true" t="shared" si="0" ref="F83:F91">D83*E83</f>
        <v>135.6590784</v>
      </c>
      <c r="G83" s="17">
        <v>89711</v>
      </c>
    </row>
    <row r="84" spans="1:7" ht="18" customHeight="1">
      <c r="A84" s="20" t="s">
        <v>157</v>
      </c>
      <c r="B84" s="13" t="s">
        <v>240</v>
      </c>
      <c r="C84" s="17" t="s">
        <v>47</v>
      </c>
      <c r="D84" s="24">
        <v>6.1</v>
      </c>
      <c r="E84" s="24">
        <f>17.5*D4+17.5</f>
        <v>22.169</v>
      </c>
      <c r="F84" s="24">
        <f t="shared" si="0"/>
        <v>135.2309</v>
      </c>
      <c r="G84" s="17">
        <v>89712</v>
      </c>
    </row>
    <row r="85" spans="1:7" ht="18" customHeight="1">
      <c r="A85" s="20" t="s">
        <v>158</v>
      </c>
      <c r="B85" s="13" t="s">
        <v>241</v>
      </c>
      <c r="C85" s="17" t="s">
        <v>47</v>
      </c>
      <c r="D85" s="24">
        <v>4.1</v>
      </c>
      <c r="E85" s="24">
        <f>25.98*D4+25.98</f>
        <v>32.911464</v>
      </c>
      <c r="F85" s="24">
        <f t="shared" si="0"/>
        <v>134.9370024</v>
      </c>
      <c r="G85" s="17">
        <v>89713</v>
      </c>
    </row>
    <row r="86" spans="1:7" ht="18" customHeight="1">
      <c r="A86" s="20" t="s">
        <v>159</v>
      </c>
      <c r="B86" s="13" t="s">
        <v>242</v>
      </c>
      <c r="C86" s="17" t="s">
        <v>47</v>
      </c>
      <c r="D86" s="24">
        <v>36</v>
      </c>
      <c r="E86" s="24">
        <f>33.23*D4+33.23</f>
        <v>42.095763999999996</v>
      </c>
      <c r="F86" s="24">
        <f t="shared" si="0"/>
        <v>1515.4475039999998</v>
      </c>
      <c r="G86" s="17">
        <v>89714</v>
      </c>
    </row>
    <row r="87" spans="1:7" ht="18" customHeight="1">
      <c r="A87" s="20" t="s">
        <v>160</v>
      </c>
      <c r="B87" s="13" t="s">
        <v>244</v>
      </c>
      <c r="C87" s="17" t="s">
        <v>112</v>
      </c>
      <c r="D87" s="24">
        <v>1</v>
      </c>
      <c r="E87" s="24">
        <f>210.46*D4+210.46</f>
        <v>266.610728</v>
      </c>
      <c r="F87" s="24">
        <f t="shared" si="0"/>
        <v>266.610728</v>
      </c>
      <c r="G87" s="17" t="s">
        <v>243</v>
      </c>
    </row>
    <row r="88" spans="1:7" ht="18" customHeight="1">
      <c r="A88" s="20" t="s">
        <v>161</v>
      </c>
      <c r="B88" s="13" t="s">
        <v>115</v>
      </c>
      <c r="C88" s="17" t="s">
        <v>112</v>
      </c>
      <c r="D88" s="24">
        <v>2</v>
      </c>
      <c r="E88" s="24">
        <f>203.9*D4+203.9</f>
        <v>258.30052</v>
      </c>
      <c r="F88" s="24">
        <f t="shared" si="0"/>
        <v>516.60104</v>
      </c>
      <c r="G88" s="17" t="s">
        <v>116</v>
      </c>
    </row>
    <row r="89" spans="1:7" ht="18" customHeight="1">
      <c r="A89" s="20" t="s">
        <v>162</v>
      </c>
      <c r="B89" s="13" t="s">
        <v>245</v>
      </c>
      <c r="C89" s="17" t="s">
        <v>112</v>
      </c>
      <c r="D89" s="24">
        <v>6</v>
      </c>
      <c r="E89" s="24">
        <f>42.83*D4+42.83</f>
        <v>54.25704399999999</v>
      </c>
      <c r="F89" s="24">
        <f t="shared" si="0"/>
        <v>325.54226399999993</v>
      </c>
      <c r="G89" s="41">
        <v>89709</v>
      </c>
    </row>
    <row r="90" spans="1:7" ht="18" customHeight="1">
      <c r="A90" s="20" t="s">
        <v>163</v>
      </c>
      <c r="B90" s="13" t="s">
        <v>246</v>
      </c>
      <c r="C90" s="17" t="s">
        <v>112</v>
      </c>
      <c r="D90" s="24">
        <v>2</v>
      </c>
      <c r="E90" s="24">
        <f>1181.79*D4+1181.79</f>
        <v>1497.0915719999998</v>
      </c>
      <c r="F90" s="24">
        <f t="shared" si="0"/>
        <v>2994.1831439999996</v>
      </c>
      <c r="G90" s="17" t="s">
        <v>117</v>
      </c>
    </row>
    <row r="91" spans="1:7" ht="18" customHeight="1">
      <c r="A91" s="23" t="s">
        <v>164</v>
      </c>
      <c r="B91" s="13" t="s">
        <v>118</v>
      </c>
      <c r="C91" s="17" t="s">
        <v>112</v>
      </c>
      <c r="D91" s="24">
        <v>1</v>
      </c>
      <c r="E91" s="24">
        <f>1328.52*D4+1328.52</f>
        <v>1682.969136</v>
      </c>
      <c r="F91" s="24">
        <f t="shared" si="0"/>
        <v>1682.969136</v>
      </c>
      <c r="G91" s="17" t="s">
        <v>119</v>
      </c>
    </row>
    <row r="92" spans="1:12" ht="18" customHeight="1">
      <c r="A92" s="18" t="s">
        <v>104</v>
      </c>
      <c r="B92" s="14" t="s">
        <v>120</v>
      </c>
      <c r="C92" s="30"/>
      <c r="D92" s="128"/>
      <c r="E92" s="114"/>
      <c r="F92" s="114"/>
      <c r="G92" s="31"/>
      <c r="L92" s="6"/>
    </row>
    <row r="93" spans="1:7" ht="18" customHeight="1">
      <c r="A93" s="20" t="s">
        <v>165</v>
      </c>
      <c r="B93" s="13" t="s">
        <v>247</v>
      </c>
      <c r="C93" s="17" t="s">
        <v>112</v>
      </c>
      <c r="D93" s="24">
        <v>5</v>
      </c>
      <c r="E93" s="24">
        <f>300.69*D4+300.69</f>
        <v>380.914092</v>
      </c>
      <c r="F93" s="24">
        <f aca="true" t="shared" si="1" ref="F93:F100">D93*E93</f>
        <v>1904.57046</v>
      </c>
      <c r="G93" s="61">
        <v>86888</v>
      </c>
    </row>
    <row r="94" spans="1:7" ht="18" customHeight="1">
      <c r="A94" s="20" t="s">
        <v>167</v>
      </c>
      <c r="B94" s="13" t="s">
        <v>248</v>
      </c>
      <c r="C94" s="17" t="s">
        <v>112</v>
      </c>
      <c r="D94" s="24">
        <v>1</v>
      </c>
      <c r="E94" s="24">
        <f>408.86*D4+408.86</f>
        <v>517.943848</v>
      </c>
      <c r="F94" s="24">
        <f t="shared" si="1"/>
        <v>517.943848</v>
      </c>
      <c r="G94" s="61" t="s">
        <v>168</v>
      </c>
    </row>
    <row r="95" spans="1:11" ht="18" customHeight="1">
      <c r="A95" s="20" t="s">
        <v>170</v>
      </c>
      <c r="B95" s="13" t="s">
        <v>249</v>
      </c>
      <c r="C95" s="17" t="s">
        <v>112</v>
      </c>
      <c r="D95" s="24">
        <v>2</v>
      </c>
      <c r="E95" s="24">
        <f>188.71*D4+188.71</f>
        <v>239.057828</v>
      </c>
      <c r="F95" s="24">
        <f t="shared" si="1"/>
        <v>478.115656</v>
      </c>
      <c r="G95" s="61">
        <v>86903</v>
      </c>
      <c r="K95" s="98"/>
    </row>
    <row r="96" spans="1:7" ht="18" customHeight="1">
      <c r="A96" s="20" t="s">
        <v>169</v>
      </c>
      <c r="B96" s="13" t="s">
        <v>250</v>
      </c>
      <c r="C96" s="17" t="s">
        <v>112</v>
      </c>
      <c r="D96" s="24">
        <v>2</v>
      </c>
      <c r="E96" s="24">
        <f>76.84*D4+76.84</f>
        <v>97.340912</v>
      </c>
      <c r="F96" s="24">
        <f t="shared" si="1"/>
        <v>194.681824</v>
      </c>
      <c r="G96" s="61">
        <v>86904</v>
      </c>
    </row>
    <row r="97" spans="1:7" ht="18" customHeight="1">
      <c r="A97" s="20" t="s">
        <v>171</v>
      </c>
      <c r="B97" s="13" t="s">
        <v>253</v>
      </c>
      <c r="C97" s="17" t="s">
        <v>112</v>
      </c>
      <c r="D97" s="24">
        <v>4</v>
      </c>
      <c r="E97" s="24">
        <f>51.95*D4+51.95</f>
        <v>65.81026</v>
      </c>
      <c r="F97" s="24">
        <f t="shared" si="1"/>
        <v>263.24104</v>
      </c>
      <c r="G97" s="41">
        <v>88571</v>
      </c>
    </row>
    <row r="98" spans="1:7" ht="18" customHeight="1">
      <c r="A98" s="20" t="s">
        <v>172</v>
      </c>
      <c r="B98" s="13" t="s">
        <v>251</v>
      </c>
      <c r="C98" s="17" t="s">
        <v>112</v>
      </c>
      <c r="D98" s="24">
        <v>4</v>
      </c>
      <c r="E98" s="24">
        <f>94.24*D4+94.24</f>
        <v>119.38323199999999</v>
      </c>
      <c r="F98" s="24">
        <f t="shared" si="1"/>
        <v>477.53292799999997</v>
      </c>
      <c r="G98" s="61">
        <v>86915</v>
      </c>
    </row>
    <row r="99" spans="1:7" ht="18" customHeight="1">
      <c r="A99" s="23" t="s">
        <v>173</v>
      </c>
      <c r="B99" s="13" t="s">
        <v>252</v>
      </c>
      <c r="C99" s="17" t="s">
        <v>112</v>
      </c>
      <c r="D99" s="24">
        <v>4</v>
      </c>
      <c r="E99" s="24">
        <f>7.72*D4+7.72</f>
        <v>9.779696</v>
      </c>
      <c r="F99" s="24">
        <f t="shared" si="1"/>
        <v>39.118784</v>
      </c>
      <c r="G99" s="61">
        <v>86883</v>
      </c>
    </row>
    <row r="100" spans="1:7" ht="18" customHeight="1">
      <c r="A100" s="23" t="s">
        <v>174</v>
      </c>
      <c r="B100" s="13" t="s">
        <v>254</v>
      </c>
      <c r="C100" s="17" t="s">
        <v>112</v>
      </c>
      <c r="D100" s="24">
        <v>3</v>
      </c>
      <c r="E100" s="24">
        <f>104.77*D4+104.77</f>
        <v>132.722636</v>
      </c>
      <c r="F100" s="24">
        <f t="shared" si="1"/>
        <v>398.167908</v>
      </c>
      <c r="G100" s="17">
        <v>73663</v>
      </c>
    </row>
    <row r="101" spans="1:7" ht="18" customHeight="1">
      <c r="A101" s="142"/>
      <c r="B101" s="142"/>
      <c r="C101" s="142"/>
      <c r="D101" s="127" t="s">
        <v>29</v>
      </c>
      <c r="E101" s="112">
        <f>SUM(E80:E81,E83:E91,E93:E100)</f>
        <v>5472.309971999999</v>
      </c>
      <c r="F101" s="27">
        <f>SUM(F80:F81,F83:F91,F93:F100)</f>
        <v>12797.1135228</v>
      </c>
      <c r="G101" s="22"/>
    </row>
    <row r="102" spans="1:7" ht="18" customHeight="1">
      <c r="A102" s="19">
        <v>15</v>
      </c>
      <c r="B102" s="14" t="s">
        <v>16</v>
      </c>
      <c r="C102" s="132"/>
      <c r="D102" s="133"/>
      <c r="E102" s="133"/>
      <c r="F102" s="134"/>
      <c r="G102" s="2"/>
    </row>
    <row r="103" spans="1:7" ht="18" customHeight="1">
      <c r="A103" s="18" t="s">
        <v>108</v>
      </c>
      <c r="B103" s="14" t="s">
        <v>16</v>
      </c>
      <c r="C103" s="30"/>
      <c r="D103" s="128"/>
      <c r="E103" s="114"/>
      <c r="F103" s="114"/>
      <c r="G103" s="31"/>
    </row>
    <row r="104" spans="1:7" ht="31.5">
      <c r="A104" s="20" t="s">
        <v>175</v>
      </c>
      <c r="B104" s="13" t="s">
        <v>255</v>
      </c>
      <c r="C104" s="17" t="s">
        <v>112</v>
      </c>
      <c r="D104" s="24">
        <v>1</v>
      </c>
      <c r="E104" s="24">
        <f>818.72*D4+818.72</f>
        <v>1037.154496</v>
      </c>
      <c r="F104" s="24">
        <f aca="true" t="shared" si="2" ref="F104:F119">D104*E104</f>
        <v>1037.154496</v>
      </c>
      <c r="G104" s="61">
        <v>9540</v>
      </c>
    </row>
    <row r="105" spans="1:7" ht="18" customHeight="1">
      <c r="A105" s="20" t="s">
        <v>176</v>
      </c>
      <c r="B105" s="13" t="s">
        <v>122</v>
      </c>
      <c r="C105" s="17" t="s">
        <v>47</v>
      </c>
      <c r="D105" s="24">
        <v>125</v>
      </c>
      <c r="E105" s="24">
        <f>3.94*D4+3.94</f>
        <v>4.991192</v>
      </c>
      <c r="F105" s="24">
        <f t="shared" si="2"/>
        <v>623.899</v>
      </c>
      <c r="G105" s="41">
        <v>91834</v>
      </c>
    </row>
    <row r="106" spans="1:7" ht="18" customHeight="1">
      <c r="A106" s="20" t="s">
        <v>177</v>
      </c>
      <c r="B106" s="13" t="s">
        <v>123</v>
      </c>
      <c r="C106" s="17" t="s">
        <v>47</v>
      </c>
      <c r="D106" s="24">
        <v>60</v>
      </c>
      <c r="E106" s="24">
        <f>5.46*D4+5.46</f>
        <v>6.916728</v>
      </c>
      <c r="F106" s="24">
        <f t="shared" si="2"/>
        <v>415.00368</v>
      </c>
      <c r="G106" s="41">
        <v>91836</v>
      </c>
    </row>
    <row r="107" spans="1:7" ht="18" customHeight="1">
      <c r="A107" s="20" t="s">
        <v>178</v>
      </c>
      <c r="B107" s="13" t="s">
        <v>256</v>
      </c>
      <c r="C107" s="17" t="s">
        <v>47</v>
      </c>
      <c r="D107" s="24">
        <v>200</v>
      </c>
      <c r="E107" s="24">
        <f>2.27*D4+2.27</f>
        <v>2.875636</v>
      </c>
      <c r="F107" s="24">
        <f t="shared" si="2"/>
        <v>575.1272</v>
      </c>
      <c r="G107" s="17">
        <v>91926</v>
      </c>
    </row>
    <row r="108" spans="1:7" ht="18" customHeight="1">
      <c r="A108" s="20" t="s">
        <v>179</v>
      </c>
      <c r="B108" s="13" t="s">
        <v>257</v>
      </c>
      <c r="C108" s="17" t="s">
        <v>47</v>
      </c>
      <c r="D108" s="24">
        <v>150</v>
      </c>
      <c r="E108" s="24">
        <f>1.69*D4+1.69</f>
        <v>2.140892</v>
      </c>
      <c r="F108" s="24">
        <f t="shared" si="2"/>
        <v>321.1338</v>
      </c>
      <c r="G108" s="17">
        <v>91924</v>
      </c>
    </row>
    <row r="109" spans="1:7" ht="18" customHeight="1">
      <c r="A109" s="20" t="s">
        <v>180</v>
      </c>
      <c r="B109" s="13" t="s">
        <v>258</v>
      </c>
      <c r="C109" s="17" t="s">
        <v>47</v>
      </c>
      <c r="D109" s="24">
        <v>250</v>
      </c>
      <c r="E109" s="24">
        <f>3.15*D4+3.15</f>
        <v>3.99042</v>
      </c>
      <c r="F109" s="24">
        <f t="shared" si="2"/>
        <v>997.605</v>
      </c>
      <c r="G109" s="17">
        <v>91928</v>
      </c>
    </row>
    <row r="110" spans="1:7" ht="18" customHeight="1">
      <c r="A110" s="20" t="s">
        <v>181</v>
      </c>
      <c r="B110" s="13" t="s">
        <v>259</v>
      </c>
      <c r="C110" s="17" t="s">
        <v>112</v>
      </c>
      <c r="D110" s="24">
        <v>21</v>
      </c>
      <c r="E110" s="24">
        <v>6.01</v>
      </c>
      <c r="F110" s="24">
        <f t="shared" si="2"/>
        <v>126.21</v>
      </c>
      <c r="G110" s="41">
        <v>91940</v>
      </c>
    </row>
    <row r="111" spans="1:7" ht="18" customHeight="1">
      <c r="A111" s="23" t="s">
        <v>182</v>
      </c>
      <c r="B111" s="13" t="s">
        <v>260</v>
      </c>
      <c r="C111" s="17" t="s">
        <v>112</v>
      </c>
      <c r="D111" s="24">
        <v>9</v>
      </c>
      <c r="E111" s="24">
        <f>11.38*D4+11.38</f>
        <v>14.416184000000001</v>
      </c>
      <c r="F111" s="24">
        <f t="shared" si="2"/>
        <v>129.745656</v>
      </c>
      <c r="G111" s="17" t="s">
        <v>124</v>
      </c>
    </row>
    <row r="112" spans="1:7" ht="31.5">
      <c r="A112" s="23" t="s">
        <v>183</v>
      </c>
      <c r="B112" s="102" t="s">
        <v>261</v>
      </c>
      <c r="C112" s="17" t="s">
        <v>112</v>
      </c>
      <c r="D112" s="24">
        <v>1</v>
      </c>
      <c r="E112" s="24">
        <f>284.7*D4+284.7</f>
        <v>360.65796</v>
      </c>
      <c r="F112" s="24">
        <f t="shared" si="2"/>
        <v>360.65796</v>
      </c>
      <c r="G112" s="17" t="s">
        <v>125</v>
      </c>
    </row>
    <row r="113" spans="1:8" ht="31.5">
      <c r="A113" s="101" t="s">
        <v>184</v>
      </c>
      <c r="B113" s="103" t="s">
        <v>275</v>
      </c>
      <c r="C113" s="64" t="s">
        <v>112</v>
      </c>
      <c r="D113" s="24">
        <v>6</v>
      </c>
      <c r="E113" s="24">
        <f>15.58*D4+15.58</f>
        <v>19.736744</v>
      </c>
      <c r="F113" s="24">
        <f t="shared" si="2"/>
        <v>118.42046400000001</v>
      </c>
      <c r="G113" s="41">
        <v>91953</v>
      </c>
      <c r="H113" s="4">
        <v>15.58</v>
      </c>
    </row>
    <row r="114" spans="1:8" ht="31.5">
      <c r="A114" s="101" t="s">
        <v>185</v>
      </c>
      <c r="B114" s="104" t="s">
        <v>276</v>
      </c>
      <c r="C114" s="64" t="s">
        <v>271</v>
      </c>
      <c r="D114" s="24">
        <v>3</v>
      </c>
      <c r="E114" s="24">
        <f>H114*D4+H114</f>
        <v>31.391304</v>
      </c>
      <c r="F114" s="24">
        <f>D114*E114</f>
        <v>94.173912</v>
      </c>
      <c r="G114" s="41">
        <v>91959</v>
      </c>
      <c r="H114" s="4">
        <v>24.78</v>
      </c>
    </row>
    <row r="115" spans="1:8" ht="31.5">
      <c r="A115" s="101" t="s">
        <v>186</v>
      </c>
      <c r="B115" s="104" t="s">
        <v>277</v>
      </c>
      <c r="C115" s="64" t="s">
        <v>112</v>
      </c>
      <c r="D115" s="24">
        <v>1</v>
      </c>
      <c r="E115" s="24">
        <f>33.97*D4+33.97</f>
        <v>43.033196</v>
      </c>
      <c r="F115" s="24">
        <f t="shared" si="2"/>
        <v>43.033196</v>
      </c>
      <c r="G115" s="41">
        <v>91967</v>
      </c>
      <c r="H115" s="4">
        <v>33.97</v>
      </c>
    </row>
    <row r="116" spans="1:8" ht="31.5">
      <c r="A116" s="101" t="s">
        <v>187</v>
      </c>
      <c r="B116" s="104" t="s">
        <v>278</v>
      </c>
      <c r="C116" s="64" t="s">
        <v>271</v>
      </c>
      <c r="D116" s="24">
        <v>5</v>
      </c>
      <c r="E116" s="24">
        <f>H116*D4+H116</f>
        <v>21.370916</v>
      </c>
      <c r="F116" s="24">
        <f>D116*E116</f>
        <v>106.85458</v>
      </c>
      <c r="G116" s="41">
        <v>91996</v>
      </c>
      <c r="H116" s="4">
        <v>16.87</v>
      </c>
    </row>
    <row r="117" spans="1:8" ht="31.5">
      <c r="A117" s="101" t="s">
        <v>188</v>
      </c>
      <c r="B117" s="104" t="s">
        <v>279</v>
      </c>
      <c r="C117" s="64" t="s">
        <v>271</v>
      </c>
      <c r="D117" s="24">
        <v>19</v>
      </c>
      <c r="E117" s="24">
        <f>H117*D4+H117</f>
        <v>18.875320000000002</v>
      </c>
      <c r="F117" s="24">
        <f>D117*E117</f>
        <v>358.63108000000005</v>
      </c>
      <c r="G117" s="41">
        <v>9200</v>
      </c>
      <c r="H117" s="4">
        <v>14.9</v>
      </c>
    </row>
    <row r="118" spans="1:8" ht="31.5">
      <c r="A118" s="101" t="s">
        <v>273</v>
      </c>
      <c r="B118" s="104" t="s">
        <v>280</v>
      </c>
      <c r="C118" s="64" t="s">
        <v>112</v>
      </c>
      <c r="D118" s="24">
        <v>2</v>
      </c>
      <c r="E118" s="24">
        <f>H118*D4+H118</f>
        <v>27.818928</v>
      </c>
      <c r="F118" s="24">
        <f t="shared" si="2"/>
        <v>55.637856</v>
      </c>
      <c r="G118" s="41">
        <v>91992</v>
      </c>
      <c r="H118" s="4">
        <v>21.96</v>
      </c>
    </row>
    <row r="119" spans="1:8" ht="18" customHeight="1">
      <c r="A119" s="101" t="s">
        <v>274</v>
      </c>
      <c r="B119" s="105" t="s">
        <v>126</v>
      </c>
      <c r="C119" s="64" t="s">
        <v>112</v>
      </c>
      <c r="D119" s="24">
        <v>21</v>
      </c>
      <c r="E119" s="24">
        <f>100.84*D4+100.84</f>
        <v>127.744112</v>
      </c>
      <c r="F119" s="24">
        <f t="shared" si="2"/>
        <v>2682.626352</v>
      </c>
      <c r="G119" s="17" t="s">
        <v>127</v>
      </c>
      <c r="H119" s="4">
        <v>100.84</v>
      </c>
    </row>
    <row r="120" spans="1:7" ht="18" customHeight="1" hidden="1">
      <c r="A120" s="143"/>
      <c r="B120" s="167"/>
      <c r="C120" s="143"/>
      <c r="D120" s="127" t="s">
        <v>29</v>
      </c>
      <c r="E120" s="115">
        <f>SUM(E99:E114,E117:E119)</f>
        <v>7279.53222</v>
      </c>
      <c r="F120" s="27">
        <f>SUM(F99:F114,F117:F119)</f>
        <v>21130.426670799996</v>
      </c>
      <c r="G120" s="22"/>
    </row>
    <row r="121" spans="1:7" ht="18" customHeight="1">
      <c r="A121" s="18" t="s">
        <v>113</v>
      </c>
      <c r="B121" s="14" t="s">
        <v>128</v>
      </c>
      <c r="C121" s="30"/>
      <c r="D121" s="128"/>
      <c r="E121" s="114"/>
      <c r="F121" s="114"/>
      <c r="G121" s="31"/>
    </row>
    <row r="122" spans="1:7" ht="18" customHeight="1">
      <c r="A122" s="20" t="s">
        <v>189</v>
      </c>
      <c r="B122" s="13" t="s">
        <v>129</v>
      </c>
      <c r="C122" s="17" t="s">
        <v>47</v>
      </c>
      <c r="D122" s="24">
        <v>30</v>
      </c>
      <c r="E122" s="24">
        <f>1.36*D4+1.36</f>
        <v>1.7228480000000002</v>
      </c>
      <c r="F122" s="24">
        <f>D122*E122</f>
        <v>51.68544000000001</v>
      </c>
      <c r="G122" s="17" t="s">
        <v>130</v>
      </c>
    </row>
    <row r="123" spans="1:7" ht="47.25">
      <c r="A123" s="20" t="s">
        <v>190</v>
      </c>
      <c r="B123" s="13" t="s">
        <v>131</v>
      </c>
      <c r="C123" s="17" t="s">
        <v>112</v>
      </c>
      <c r="D123" s="24">
        <v>2</v>
      </c>
      <c r="E123" s="24">
        <f>15.08*D4+15.08</f>
        <v>19.103344</v>
      </c>
      <c r="F123" s="24">
        <f>D123*E123</f>
        <v>38.206688</v>
      </c>
      <c r="G123" s="61">
        <v>72337</v>
      </c>
    </row>
    <row r="124" spans="1:7" ht="18" customHeight="1">
      <c r="A124" s="20" t="s">
        <v>191</v>
      </c>
      <c r="B124" s="13" t="s">
        <v>132</v>
      </c>
      <c r="C124" s="17" t="s">
        <v>112</v>
      </c>
      <c r="D124" s="24">
        <v>1</v>
      </c>
      <c r="E124" s="24">
        <f>43.19*D4+43.19</f>
        <v>54.713091999999996</v>
      </c>
      <c r="F124" s="24">
        <f>D124*E124</f>
        <v>54.713091999999996</v>
      </c>
      <c r="G124" s="61">
        <v>83366</v>
      </c>
    </row>
    <row r="125" spans="1:7" ht="18" customHeight="1">
      <c r="A125" s="143"/>
      <c r="B125" s="143"/>
      <c r="C125" s="143"/>
      <c r="D125" s="127" t="s">
        <v>29</v>
      </c>
      <c r="E125" s="115">
        <f>SUM(E104:E119,E122:E124)</f>
        <v>1804.6633120000004</v>
      </c>
      <c r="F125" s="27">
        <f>SUM(F104:F119,F122:F124)</f>
        <v>8190.5194520000005</v>
      </c>
      <c r="G125" s="22"/>
    </row>
    <row r="126" spans="1:7" ht="18" customHeight="1">
      <c r="A126" s="19">
        <v>16</v>
      </c>
      <c r="B126" s="14" t="s">
        <v>17</v>
      </c>
      <c r="C126" s="132"/>
      <c r="D126" s="133"/>
      <c r="E126" s="133"/>
      <c r="F126" s="134"/>
      <c r="G126" s="2"/>
    </row>
    <row r="127" spans="1:7" ht="18" customHeight="1">
      <c r="A127" s="17" t="s">
        <v>121</v>
      </c>
      <c r="B127" s="13" t="s">
        <v>134</v>
      </c>
      <c r="C127" s="17" t="s">
        <v>112</v>
      </c>
      <c r="D127" s="24">
        <v>4</v>
      </c>
      <c r="E127" s="24">
        <v>98</v>
      </c>
      <c r="F127" s="24">
        <f>D127*E127</f>
        <v>392</v>
      </c>
      <c r="G127" s="7" t="s">
        <v>166</v>
      </c>
    </row>
    <row r="128" spans="1:7" ht="18" customHeight="1">
      <c r="A128" s="141"/>
      <c r="B128" s="141"/>
      <c r="C128" s="141"/>
      <c r="D128" s="129" t="s">
        <v>29</v>
      </c>
      <c r="E128" s="116">
        <f>SUM(E127:E127)</f>
        <v>98</v>
      </c>
      <c r="F128" s="124">
        <f>SUM(F127:F127)</f>
        <v>392</v>
      </c>
      <c r="G128" s="33"/>
    </row>
    <row r="129" spans="1:7" ht="24.75" customHeight="1">
      <c r="A129" s="146">
        <v>17</v>
      </c>
      <c r="B129" s="145" t="s">
        <v>208</v>
      </c>
      <c r="C129" s="147"/>
      <c r="D129" s="147"/>
      <c r="E129" s="147"/>
      <c r="F129" s="147"/>
      <c r="G129" s="147"/>
    </row>
    <row r="130" spans="1:7" ht="24.75" customHeight="1">
      <c r="A130" s="146"/>
      <c r="B130" s="145"/>
      <c r="C130" s="147"/>
      <c r="D130" s="147"/>
      <c r="E130" s="147"/>
      <c r="F130" s="147"/>
      <c r="G130" s="148"/>
    </row>
    <row r="131" spans="1:7" ht="31.5">
      <c r="A131" s="45" t="s">
        <v>133</v>
      </c>
      <c r="B131" s="46" t="s">
        <v>197</v>
      </c>
      <c r="C131" s="35" t="s">
        <v>112</v>
      </c>
      <c r="D131" s="52">
        <v>6</v>
      </c>
      <c r="E131" s="54">
        <v>1406.5</v>
      </c>
      <c r="F131" s="24">
        <f>E131*D131</f>
        <v>8439</v>
      </c>
      <c r="G131" s="56" t="s">
        <v>166</v>
      </c>
    </row>
    <row r="132" spans="1:7" ht="31.5">
      <c r="A132" s="47" t="s">
        <v>135</v>
      </c>
      <c r="B132" s="49" t="s">
        <v>196</v>
      </c>
      <c r="C132" s="44" t="s">
        <v>112</v>
      </c>
      <c r="D132" s="53">
        <v>8</v>
      </c>
      <c r="E132" s="52">
        <v>1452.27</v>
      </c>
      <c r="F132" s="24">
        <f>E132*D132</f>
        <v>11618.16</v>
      </c>
      <c r="G132" s="56" t="s">
        <v>166</v>
      </c>
    </row>
    <row r="133" spans="1:7" ht="31.5">
      <c r="A133" s="48" t="s">
        <v>136</v>
      </c>
      <c r="B133" s="59" t="s">
        <v>192</v>
      </c>
      <c r="C133" s="35" t="s">
        <v>112</v>
      </c>
      <c r="D133" s="54">
        <v>3</v>
      </c>
      <c r="E133" s="52">
        <v>2782.35</v>
      </c>
      <c r="F133" s="24">
        <f>D133*E133</f>
        <v>8347.05</v>
      </c>
      <c r="G133" s="56" t="s">
        <v>166</v>
      </c>
    </row>
    <row r="134" spans="1:7" ht="47.25">
      <c r="A134" s="51" t="s">
        <v>193</v>
      </c>
      <c r="B134" s="49" t="s">
        <v>228</v>
      </c>
      <c r="C134" s="50" t="s">
        <v>32</v>
      </c>
      <c r="D134" s="52">
        <v>360</v>
      </c>
      <c r="E134" s="52">
        <v>109.47</v>
      </c>
      <c r="F134" s="24">
        <f>E134*D134</f>
        <v>39409.2</v>
      </c>
      <c r="G134" s="56" t="s">
        <v>166</v>
      </c>
    </row>
    <row r="135" spans="1:7" ht="31.5">
      <c r="A135" s="55" t="s">
        <v>194</v>
      </c>
      <c r="B135" s="60" t="s">
        <v>195</v>
      </c>
      <c r="C135" s="56" t="s">
        <v>32</v>
      </c>
      <c r="D135" s="57">
        <v>262</v>
      </c>
      <c r="E135" s="57">
        <v>123.11</v>
      </c>
      <c r="F135" s="58">
        <f>E135*D135</f>
        <v>32254.82</v>
      </c>
      <c r="G135" s="56" t="s">
        <v>166</v>
      </c>
    </row>
    <row r="136" spans="1:8" ht="18" customHeight="1">
      <c r="A136" s="138"/>
      <c r="B136" s="139"/>
      <c r="C136" s="140"/>
      <c r="D136" s="125" t="s">
        <v>29</v>
      </c>
      <c r="E136" s="117">
        <f>SUM(E131:E135)</f>
        <v>5873.7</v>
      </c>
      <c r="F136" s="125">
        <f>SUM(F131:F135)</f>
        <v>100068.23000000001</v>
      </c>
      <c r="G136" s="34"/>
      <c r="H136" s="99"/>
    </row>
    <row r="137" spans="1:7" ht="31.5">
      <c r="A137" s="94">
        <v>18</v>
      </c>
      <c r="B137" s="95" t="s">
        <v>238</v>
      </c>
      <c r="C137" s="135"/>
      <c r="D137" s="136"/>
      <c r="E137" s="136"/>
      <c r="F137" s="136"/>
      <c r="G137" s="137"/>
    </row>
    <row r="138" spans="1:7" ht="18" customHeight="1">
      <c r="A138" s="51" t="s">
        <v>232</v>
      </c>
      <c r="B138" s="93" t="s">
        <v>233</v>
      </c>
      <c r="C138" s="51" t="s">
        <v>112</v>
      </c>
      <c r="D138" s="52">
        <v>3</v>
      </c>
      <c r="E138" s="118">
        <v>150</v>
      </c>
      <c r="F138" s="58">
        <f>E138*D138</f>
        <v>450</v>
      </c>
      <c r="G138" s="50" t="s">
        <v>166</v>
      </c>
    </row>
    <row r="139" spans="1:7" ht="18" customHeight="1">
      <c r="A139" s="51" t="s">
        <v>234</v>
      </c>
      <c r="B139" s="93" t="s">
        <v>235</v>
      </c>
      <c r="C139" s="51" t="s">
        <v>112</v>
      </c>
      <c r="D139" s="52">
        <v>9</v>
      </c>
      <c r="E139" s="118">
        <v>12</v>
      </c>
      <c r="F139" s="58">
        <f>E139*D139</f>
        <v>108</v>
      </c>
      <c r="G139" s="50" t="s">
        <v>166</v>
      </c>
    </row>
    <row r="140" spans="1:7" ht="18" customHeight="1">
      <c r="A140" s="51" t="s">
        <v>236</v>
      </c>
      <c r="B140" s="93" t="s">
        <v>237</v>
      </c>
      <c r="C140" s="51" t="s">
        <v>112</v>
      </c>
      <c r="D140" s="52">
        <v>2</v>
      </c>
      <c r="E140" s="118">
        <v>260</v>
      </c>
      <c r="F140" s="58">
        <f>E140*D140</f>
        <v>520</v>
      </c>
      <c r="G140" s="50" t="s">
        <v>166</v>
      </c>
    </row>
    <row r="141" spans="1:7" ht="18" customHeight="1">
      <c r="A141" s="138"/>
      <c r="B141" s="139"/>
      <c r="C141" s="140"/>
      <c r="D141" s="125" t="s">
        <v>29</v>
      </c>
      <c r="E141" s="119">
        <f>SUM(E138:E140)</f>
        <v>422</v>
      </c>
      <c r="F141" s="125">
        <f>SUM(F138:F140)</f>
        <v>1078</v>
      </c>
      <c r="G141" s="34"/>
    </row>
    <row r="142" spans="1:6" ht="15.75">
      <c r="A142" s="92"/>
      <c r="B142" s="92"/>
      <c r="C142" s="92"/>
      <c r="D142" s="126"/>
      <c r="E142" s="120"/>
      <c r="F142" s="126"/>
    </row>
    <row r="143" spans="1:7" ht="16.5" thickBot="1">
      <c r="A143" s="42"/>
      <c r="B143" s="43"/>
      <c r="C143" s="38"/>
      <c r="D143" s="121"/>
      <c r="E143" s="121"/>
      <c r="F143" s="121"/>
      <c r="G143" s="38"/>
    </row>
    <row r="144" spans="1:9" ht="15.75" customHeight="1" thickBot="1">
      <c r="A144" s="6"/>
      <c r="B144" s="4" t="s">
        <v>226</v>
      </c>
      <c r="D144" s="151" t="s">
        <v>141</v>
      </c>
      <c r="E144" s="152"/>
      <c r="F144" s="153"/>
      <c r="G144" s="67">
        <f>SUM(F9,F12,F17,F20,F27,F39,F43,F52,F55,F58,F65,F71,F77,F101,F125,F128,F136,F141)</f>
        <v>277221.73391032004</v>
      </c>
      <c r="H144" s="91"/>
      <c r="I144" s="99"/>
    </row>
    <row r="145" spans="1:7" ht="15.75">
      <c r="A145" s="6"/>
      <c r="B145" s="4" t="s">
        <v>230</v>
      </c>
      <c r="G145" s="36"/>
    </row>
    <row r="146" spans="1:2" ht="15.75">
      <c r="A146" s="15"/>
      <c r="B146" s="4" t="s">
        <v>231</v>
      </c>
    </row>
    <row r="147" ht="15.75">
      <c r="A147" s="5"/>
    </row>
    <row r="148" spans="1:7" ht="15.75">
      <c r="A148" s="16"/>
      <c r="B148" s="37"/>
      <c r="D148" s="131"/>
      <c r="E148" s="122"/>
      <c r="F148" s="122"/>
      <c r="G148" s="37"/>
    </row>
    <row r="149" spans="2:7" ht="15.75">
      <c r="B149" s="39" t="s">
        <v>145</v>
      </c>
      <c r="D149" s="150" t="s">
        <v>142</v>
      </c>
      <c r="E149" s="150"/>
      <c r="F149" s="150"/>
      <c r="G149" s="150"/>
    </row>
    <row r="150" spans="2:7" ht="15.75">
      <c r="B150" s="39" t="s">
        <v>146</v>
      </c>
      <c r="D150" s="149" t="s">
        <v>143</v>
      </c>
      <c r="E150" s="149"/>
      <c r="F150" s="149"/>
      <c r="G150" s="149"/>
    </row>
    <row r="151" spans="4:7" ht="15.75">
      <c r="D151" s="149" t="s">
        <v>144</v>
      </c>
      <c r="E151" s="149"/>
      <c r="F151" s="149"/>
      <c r="G151" s="149"/>
    </row>
    <row r="153" spans="4:7" ht="15.75">
      <c r="D153" s="144" t="s">
        <v>227</v>
      </c>
      <c r="E153" s="144"/>
      <c r="F153" s="144"/>
      <c r="G153" s="144"/>
    </row>
  </sheetData>
  <sheetProtection/>
  <mergeCells count="59">
    <mergeCell ref="A71:C71"/>
    <mergeCell ref="C66:F66"/>
    <mergeCell ref="A120:C120"/>
    <mergeCell ref="A1:G1"/>
    <mergeCell ref="B2:G2"/>
    <mergeCell ref="B3:G3"/>
    <mergeCell ref="C5:C6"/>
    <mergeCell ref="D5:D6"/>
    <mergeCell ref="F5:F6"/>
    <mergeCell ref="E4:G4"/>
    <mergeCell ref="G5:G6"/>
    <mergeCell ref="E5:E6"/>
    <mergeCell ref="C78:F78"/>
    <mergeCell ref="C7:F7"/>
    <mergeCell ref="A9:C9"/>
    <mergeCell ref="C49:F49"/>
    <mergeCell ref="C10:F10"/>
    <mergeCell ref="C13:F13"/>
    <mergeCell ref="A65:B65"/>
    <mergeCell ref="C18:F18"/>
    <mergeCell ref="A27:C27"/>
    <mergeCell ref="A20:C20"/>
    <mergeCell ref="C21:F21"/>
    <mergeCell ref="C59:F59"/>
    <mergeCell ref="C34:F34"/>
    <mergeCell ref="C40:F40"/>
    <mergeCell ref="A39:C39"/>
    <mergeCell ref="A58:C58"/>
    <mergeCell ref="C45:F45"/>
    <mergeCell ref="A52:C52"/>
    <mergeCell ref="A12:C12"/>
    <mergeCell ref="C47:F47"/>
    <mergeCell ref="C53:F53"/>
    <mergeCell ref="C56:F56"/>
    <mergeCell ref="A55:C55"/>
    <mergeCell ref="A43:C43"/>
    <mergeCell ref="A17:C17"/>
    <mergeCell ref="C28:F28"/>
    <mergeCell ref="C29:F29"/>
    <mergeCell ref="C44:F44"/>
    <mergeCell ref="D153:G153"/>
    <mergeCell ref="B129:B130"/>
    <mergeCell ref="A129:A130"/>
    <mergeCell ref="C129:F130"/>
    <mergeCell ref="G129:G130"/>
    <mergeCell ref="D150:G150"/>
    <mergeCell ref="D149:G149"/>
    <mergeCell ref="D151:G151"/>
    <mergeCell ref="D144:F144"/>
    <mergeCell ref="C72:F72"/>
    <mergeCell ref="C137:G137"/>
    <mergeCell ref="A141:C141"/>
    <mergeCell ref="A136:C136"/>
    <mergeCell ref="A128:C128"/>
    <mergeCell ref="A101:C101"/>
    <mergeCell ref="A77:C77"/>
    <mergeCell ref="C126:F126"/>
    <mergeCell ref="C102:F102"/>
    <mergeCell ref="A125:C1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F6" sqref="F6"/>
    </sheetView>
  </sheetViews>
  <sheetFormatPr defaultColWidth="9.33203125" defaultRowHeight="9.75" customHeight="1"/>
  <cols>
    <col min="1" max="1" width="5.16015625" style="3" customWidth="1"/>
    <col min="2" max="2" width="2.66015625" style="3" customWidth="1"/>
    <col min="3" max="3" width="4" style="3" customWidth="1"/>
    <col min="4" max="4" width="7.83203125" style="3" customWidth="1"/>
    <col min="5" max="5" width="62.33203125" style="3" customWidth="1"/>
    <col min="6" max="6" width="13.66015625" style="3" customWidth="1"/>
    <col min="7" max="7" width="11.16015625" style="3" customWidth="1"/>
    <col min="8" max="8" width="8.83203125" style="3" customWidth="1"/>
    <col min="9" max="9" width="10.33203125" style="3" bestFit="1" customWidth="1"/>
    <col min="10" max="10" width="8.83203125" style="3" bestFit="1" customWidth="1"/>
    <col min="11" max="11" width="10.33203125" style="3" bestFit="1" customWidth="1"/>
    <col min="12" max="12" width="8.83203125" style="3" bestFit="1" customWidth="1"/>
    <col min="13" max="13" width="11.5" style="3" customWidth="1"/>
    <col min="14" max="14" width="8.83203125" style="3" customWidth="1"/>
    <col min="15" max="15" width="11.5" style="3" bestFit="1" customWidth="1"/>
    <col min="16" max="16" width="8.83203125" style="3" bestFit="1" customWidth="1"/>
    <col min="17" max="17" width="11.5" style="3" bestFit="1" customWidth="1"/>
    <col min="18" max="18" width="8.83203125" style="3" bestFit="1" customWidth="1"/>
    <col min="19" max="19" width="11.5" style="3" customWidth="1"/>
    <col min="20" max="20" width="8.83203125" style="3" bestFit="1" customWidth="1"/>
    <col min="21" max="21" width="11.5" style="3" bestFit="1" customWidth="1"/>
    <col min="22" max="22" width="8.83203125" style="3" bestFit="1" customWidth="1"/>
    <col min="23" max="23" width="11.5" style="3" bestFit="1" customWidth="1"/>
    <col min="24" max="24" width="8.83203125" style="3" customWidth="1"/>
    <col min="25" max="16384" width="9.33203125" style="3" customWidth="1"/>
  </cols>
  <sheetData>
    <row r="1" spans="1:24" ht="18" customHeight="1">
      <c r="A1" s="204" t="s">
        <v>209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6"/>
      <c r="X1" s="89"/>
    </row>
    <row r="2" spans="1:23" ht="18" customHeight="1">
      <c r="A2" s="109" t="s">
        <v>223</v>
      </c>
      <c r="B2" s="87"/>
      <c r="C2" s="87"/>
      <c r="D2" s="87"/>
      <c r="E2" s="87"/>
      <c r="F2" s="87"/>
      <c r="G2" s="88"/>
      <c r="H2" s="183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5"/>
    </row>
    <row r="3" spans="1:23" ht="18" customHeight="1">
      <c r="A3" s="209"/>
      <c r="B3" s="210"/>
      <c r="C3" s="210"/>
      <c r="D3" s="210"/>
      <c r="E3" s="210"/>
      <c r="F3" s="210"/>
      <c r="G3" s="211"/>
      <c r="H3" s="207" t="s">
        <v>210</v>
      </c>
      <c r="I3" s="208"/>
      <c r="J3" s="207" t="s">
        <v>211</v>
      </c>
      <c r="K3" s="208"/>
      <c r="L3" s="207" t="s">
        <v>212</v>
      </c>
      <c r="M3" s="208"/>
      <c r="N3" s="207" t="s">
        <v>213</v>
      </c>
      <c r="O3" s="208"/>
      <c r="P3" s="207" t="s">
        <v>214</v>
      </c>
      <c r="Q3" s="208"/>
      <c r="R3" s="207" t="s">
        <v>215</v>
      </c>
      <c r="S3" s="208"/>
      <c r="T3" s="207" t="s">
        <v>216</v>
      </c>
      <c r="U3" s="208"/>
      <c r="V3" s="207" t="s">
        <v>217</v>
      </c>
      <c r="W3" s="208"/>
    </row>
    <row r="4" spans="1:23" ht="18" customHeight="1">
      <c r="A4" s="80" t="s">
        <v>0</v>
      </c>
      <c r="B4" s="186" t="s">
        <v>218</v>
      </c>
      <c r="C4" s="187"/>
      <c r="D4" s="187"/>
      <c r="E4" s="188"/>
      <c r="F4" s="81" t="s">
        <v>224</v>
      </c>
      <c r="G4" s="81" t="s">
        <v>225</v>
      </c>
      <c r="H4" s="81" t="s">
        <v>1</v>
      </c>
      <c r="I4" s="81" t="s">
        <v>210</v>
      </c>
      <c r="J4" s="81" t="s">
        <v>1</v>
      </c>
      <c r="K4" s="81" t="s">
        <v>211</v>
      </c>
      <c r="L4" s="81" t="s">
        <v>1</v>
      </c>
      <c r="M4" s="81" t="s">
        <v>212</v>
      </c>
      <c r="N4" s="81" t="s">
        <v>1</v>
      </c>
      <c r="O4" s="81" t="s">
        <v>213</v>
      </c>
      <c r="P4" s="81" t="s">
        <v>1</v>
      </c>
      <c r="Q4" s="81" t="s">
        <v>214</v>
      </c>
      <c r="R4" s="81" t="s">
        <v>1</v>
      </c>
      <c r="S4" s="81" t="s">
        <v>215</v>
      </c>
      <c r="T4" s="81" t="s">
        <v>1</v>
      </c>
      <c r="U4" s="81" t="s">
        <v>216</v>
      </c>
      <c r="V4" s="81" t="s">
        <v>1</v>
      </c>
      <c r="W4" s="81" t="s">
        <v>217</v>
      </c>
    </row>
    <row r="5" spans="1:24" ht="18" customHeight="1">
      <c r="A5" s="74">
        <v>1</v>
      </c>
      <c r="B5" s="189" t="s">
        <v>2</v>
      </c>
      <c r="C5" s="190"/>
      <c r="D5" s="190"/>
      <c r="E5" s="191"/>
      <c r="F5" s="75">
        <v>176.4</v>
      </c>
      <c r="G5" s="76">
        <f>F5/F23</f>
        <v>0.0006363137321048486</v>
      </c>
      <c r="H5" s="76">
        <v>1</v>
      </c>
      <c r="I5" s="77">
        <f aca="true" t="shared" si="0" ref="I5:I22">H5*F5</f>
        <v>176.4</v>
      </c>
      <c r="J5" s="76">
        <v>0</v>
      </c>
      <c r="K5" s="77">
        <f aca="true" t="shared" si="1" ref="K5:K22">J5*F5</f>
        <v>0</v>
      </c>
      <c r="L5" s="76">
        <v>0</v>
      </c>
      <c r="M5" s="77">
        <f aca="true" t="shared" si="2" ref="M5:M22">L5*F5</f>
        <v>0</v>
      </c>
      <c r="N5" s="76">
        <v>0</v>
      </c>
      <c r="O5" s="77">
        <f aca="true" t="shared" si="3" ref="O5:O22">N5*F5</f>
        <v>0</v>
      </c>
      <c r="P5" s="76">
        <v>0</v>
      </c>
      <c r="Q5" s="77">
        <f aca="true" t="shared" si="4" ref="Q5:Q22">P5*F5</f>
        <v>0</v>
      </c>
      <c r="R5" s="76">
        <v>0</v>
      </c>
      <c r="S5" s="77">
        <f aca="true" t="shared" si="5" ref="S5:S22">R5*F5</f>
        <v>0</v>
      </c>
      <c r="T5" s="76">
        <v>0</v>
      </c>
      <c r="U5" s="77">
        <f aca="true" t="shared" si="6" ref="U5:U22">T5*F5</f>
        <v>0</v>
      </c>
      <c r="V5" s="76">
        <v>0</v>
      </c>
      <c r="W5" s="77">
        <f aca="true" t="shared" si="7" ref="W5:W22">V5*F5</f>
        <v>0</v>
      </c>
      <c r="X5" s="68"/>
    </row>
    <row r="6" spans="1:24" ht="18" customHeight="1">
      <c r="A6" s="74">
        <v>2</v>
      </c>
      <c r="B6" s="192" t="s">
        <v>3</v>
      </c>
      <c r="C6" s="193"/>
      <c r="D6" s="193"/>
      <c r="E6" s="194"/>
      <c r="F6" s="78">
        <v>654.02</v>
      </c>
      <c r="G6" s="76">
        <f>F6/F23</f>
        <v>0.0023591944845306866</v>
      </c>
      <c r="H6" s="76">
        <v>1</v>
      </c>
      <c r="I6" s="77">
        <f t="shared" si="0"/>
        <v>654.02</v>
      </c>
      <c r="J6" s="76">
        <v>0</v>
      </c>
      <c r="K6" s="77">
        <f t="shared" si="1"/>
        <v>0</v>
      </c>
      <c r="L6" s="76">
        <v>0</v>
      </c>
      <c r="M6" s="77">
        <f t="shared" si="2"/>
        <v>0</v>
      </c>
      <c r="N6" s="76">
        <v>0</v>
      </c>
      <c r="O6" s="77">
        <f t="shared" si="3"/>
        <v>0</v>
      </c>
      <c r="P6" s="76">
        <v>0</v>
      </c>
      <c r="Q6" s="77">
        <f t="shared" si="4"/>
        <v>0</v>
      </c>
      <c r="R6" s="76">
        <v>0</v>
      </c>
      <c r="S6" s="77">
        <f t="shared" si="5"/>
        <v>0</v>
      </c>
      <c r="T6" s="76">
        <v>0</v>
      </c>
      <c r="U6" s="77">
        <f t="shared" si="6"/>
        <v>0</v>
      </c>
      <c r="V6" s="76">
        <v>0</v>
      </c>
      <c r="W6" s="77">
        <f t="shared" si="7"/>
        <v>0</v>
      </c>
      <c r="X6" s="68"/>
    </row>
    <row r="7" spans="1:24" ht="18" customHeight="1">
      <c r="A7" s="74">
        <v>3</v>
      </c>
      <c r="B7" s="189" t="s">
        <v>4</v>
      </c>
      <c r="C7" s="190"/>
      <c r="D7" s="190"/>
      <c r="E7" s="191"/>
      <c r="F7" s="78">
        <v>6395.91</v>
      </c>
      <c r="G7" s="76">
        <f>F7/F23</f>
        <v>0.02307145896999276</v>
      </c>
      <c r="H7" s="76">
        <v>0.5</v>
      </c>
      <c r="I7" s="77">
        <f t="shared" si="0"/>
        <v>3197.955</v>
      </c>
      <c r="J7" s="76">
        <v>0</v>
      </c>
      <c r="K7" s="77">
        <f t="shared" si="1"/>
        <v>0</v>
      </c>
      <c r="L7" s="76">
        <v>0</v>
      </c>
      <c r="M7" s="77">
        <f t="shared" si="2"/>
        <v>0</v>
      </c>
      <c r="N7" s="76">
        <v>0.5</v>
      </c>
      <c r="O7" s="77">
        <f t="shared" si="3"/>
        <v>3197.955</v>
      </c>
      <c r="P7" s="76">
        <v>0</v>
      </c>
      <c r="Q7" s="77">
        <f t="shared" si="4"/>
        <v>0</v>
      </c>
      <c r="R7" s="76">
        <v>0</v>
      </c>
      <c r="S7" s="77">
        <f t="shared" si="5"/>
        <v>0</v>
      </c>
      <c r="T7" s="76">
        <v>0</v>
      </c>
      <c r="U7" s="77">
        <f t="shared" si="6"/>
        <v>0</v>
      </c>
      <c r="V7" s="76">
        <v>0</v>
      </c>
      <c r="W7" s="77">
        <f t="shared" si="7"/>
        <v>0</v>
      </c>
      <c r="X7" s="68"/>
    </row>
    <row r="8" spans="1:24" ht="18" customHeight="1">
      <c r="A8" s="74">
        <v>4</v>
      </c>
      <c r="B8" s="189" t="s">
        <v>5</v>
      </c>
      <c r="C8" s="190"/>
      <c r="D8" s="190"/>
      <c r="E8" s="191"/>
      <c r="F8" s="75">
        <v>857.37</v>
      </c>
      <c r="G8" s="76">
        <f>F8/F23</f>
        <v>0.0030927228145959983</v>
      </c>
      <c r="H8" s="76">
        <v>0.1</v>
      </c>
      <c r="I8" s="77">
        <f t="shared" si="0"/>
        <v>85.73700000000001</v>
      </c>
      <c r="J8" s="76">
        <v>0.1</v>
      </c>
      <c r="K8" s="77">
        <f t="shared" si="1"/>
        <v>85.73700000000001</v>
      </c>
      <c r="L8" s="76">
        <v>0.1</v>
      </c>
      <c r="M8" s="77">
        <f t="shared" si="2"/>
        <v>85.73700000000001</v>
      </c>
      <c r="N8" s="76">
        <v>0.1</v>
      </c>
      <c r="O8" s="77">
        <f t="shared" si="3"/>
        <v>85.73700000000001</v>
      </c>
      <c r="P8" s="76">
        <v>0.1</v>
      </c>
      <c r="Q8" s="77">
        <f t="shared" si="4"/>
        <v>85.73700000000001</v>
      </c>
      <c r="R8" s="76">
        <v>0.1</v>
      </c>
      <c r="S8" s="77">
        <f t="shared" si="5"/>
        <v>85.73700000000001</v>
      </c>
      <c r="T8" s="76">
        <v>0.1</v>
      </c>
      <c r="U8" s="77">
        <f t="shared" si="6"/>
        <v>85.73700000000001</v>
      </c>
      <c r="V8" s="76">
        <v>0.3</v>
      </c>
      <c r="W8" s="77">
        <f t="shared" si="7"/>
        <v>257.211</v>
      </c>
      <c r="X8" s="68"/>
    </row>
    <row r="9" spans="1:24" ht="18" customHeight="1">
      <c r="A9" s="74">
        <v>5</v>
      </c>
      <c r="B9" s="192" t="s">
        <v>6</v>
      </c>
      <c r="C9" s="193"/>
      <c r="D9" s="193"/>
      <c r="E9" s="194"/>
      <c r="F9" s="78">
        <v>16532.98</v>
      </c>
      <c r="G9" s="76">
        <f>F9/F23</f>
        <v>0.05963810774724955</v>
      </c>
      <c r="H9" s="76">
        <v>0</v>
      </c>
      <c r="I9" s="77">
        <f t="shared" si="0"/>
        <v>0</v>
      </c>
      <c r="J9" s="76">
        <v>0</v>
      </c>
      <c r="K9" s="77">
        <f t="shared" si="1"/>
        <v>0</v>
      </c>
      <c r="L9" s="76">
        <v>0</v>
      </c>
      <c r="M9" s="77">
        <f t="shared" si="2"/>
        <v>0</v>
      </c>
      <c r="N9" s="76">
        <v>1</v>
      </c>
      <c r="O9" s="77">
        <f t="shared" si="3"/>
        <v>16532.98</v>
      </c>
      <c r="P9" s="76">
        <v>0</v>
      </c>
      <c r="Q9" s="77">
        <f t="shared" si="4"/>
        <v>0</v>
      </c>
      <c r="R9" s="76">
        <v>0</v>
      </c>
      <c r="S9" s="77">
        <f t="shared" si="5"/>
        <v>0</v>
      </c>
      <c r="T9" s="76">
        <v>0</v>
      </c>
      <c r="U9" s="77">
        <f t="shared" si="6"/>
        <v>0</v>
      </c>
      <c r="V9" s="76">
        <v>0</v>
      </c>
      <c r="W9" s="77">
        <f t="shared" si="7"/>
        <v>0</v>
      </c>
      <c r="X9" s="68"/>
    </row>
    <row r="10" spans="1:24" ht="18" customHeight="1">
      <c r="A10" s="74">
        <v>6</v>
      </c>
      <c r="B10" s="189" t="s">
        <v>7</v>
      </c>
      <c r="C10" s="190"/>
      <c r="D10" s="190"/>
      <c r="E10" s="191"/>
      <c r="F10" s="78">
        <v>12463.46</v>
      </c>
      <c r="G10" s="76">
        <f>F10/F23</f>
        <v>0.04495845094977039</v>
      </c>
      <c r="H10" s="76">
        <v>0</v>
      </c>
      <c r="I10" s="77">
        <f t="shared" si="0"/>
        <v>0</v>
      </c>
      <c r="J10" s="76">
        <v>0</v>
      </c>
      <c r="K10" s="77">
        <f t="shared" si="1"/>
        <v>0</v>
      </c>
      <c r="L10" s="76">
        <v>0</v>
      </c>
      <c r="M10" s="77">
        <f t="shared" si="2"/>
        <v>0</v>
      </c>
      <c r="N10" s="76">
        <v>0.21</v>
      </c>
      <c r="O10" s="77">
        <f t="shared" si="3"/>
        <v>2617.3266</v>
      </c>
      <c r="P10" s="76">
        <v>0.79</v>
      </c>
      <c r="Q10" s="77">
        <f t="shared" si="4"/>
        <v>9846.1334</v>
      </c>
      <c r="R10" s="76">
        <v>0</v>
      </c>
      <c r="S10" s="77">
        <f t="shared" si="5"/>
        <v>0</v>
      </c>
      <c r="T10" s="76">
        <v>0</v>
      </c>
      <c r="U10" s="77">
        <f t="shared" si="6"/>
        <v>0</v>
      </c>
      <c r="V10" s="76">
        <v>0</v>
      </c>
      <c r="W10" s="77">
        <f t="shared" si="7"/>
        <v>0</v>
      </c>
      <c r="X10" s="68"/>
    </row>
    <row r="11" spans="1:24" ht="18" customHeight="1">
      <c r="A11" s="74">
        <v>7</v>
      </c>
      <c r="B11" s="189" t="s">
        <v>8</v>
      </c>
      <c r="C11" s="190"/>
      <c r="D11" s="190"/>
      <c r="E11" s="191"/>
      <c r="F11" s="78">
        <v>21954.73</v>
      </c>
      <c r="G11" s="76">
        <f>F11/F23</f>
        <v>0.07919555659667961</v>
      </c>
      <c r="H11" s="76">
        <v>0</v>
      </c>
      <c r="I11" s="77">
        <f t="shared" si="0"/>
        <v>0</v>
      </c>
      <c r="J11" s="76">
        <v>0</v>
      </c>
      <c r="K11" s="77">
        <f t="shared" si="1"/>
        <v>0</v>
      </c>
      <c r="L11" s="76">
        <v>0</v>
      </c>
      <c r="M11" s="77">
        <f t="shared" si="2"/>
        <v>0</v>
      </c>
      <c r="N11" s="76">
        <v>0.35</v>
      </c>
      <c r="O11" s="77">
        <f t="shared" si="3"/>
        <v>7684.155499999999</v>
      </c>
      <c r="P11" s="76">
        <v>0.65</v>
      </c>
      <c r="Q11" s="77">
        <f t="shared" si="4"/>
        <v>14270.5745</v>
      </c>
      <c r="R11" s="76">
        <v>0</v>
      </c>
      <c r="S11" s="77">
        <f t="shared" si="5"/>
        <v>0</v>
      </c>
      <c r="T11" s="76">
        <v>0</v>
      </c>
      <c r="U11" s="77">
        <f t="shared" si="6"/>
        <v>0</v>
      </c>
      <c r="V11" s="76">
        <v>0</v>
      </c>
      <c r="W11" s="77">
        <f t="shared" si="7"/>
        <v>0</v>
      </c>
      <c r="X11" s="68"/>
    </row>
    <row r="12" spans="1:24" ht="18" customHeight="1">
      <c r="A12" s="74">
        <v>8</v>
      </c>
      <c r="B12" s="189" t="s">
        <v>9</v>
      </c>
      <c r="C12" s="190"/>
      <c r="D12" s="190"/>
      <c r="E12" s="191"/>
      <c r="F12" s="78">
        <v>28370.21</v>
      </c>
      <c r="G12" s="76">
        <f>F12/F23</f>
        <v>0.10233760887584069</v>
      </c>
      <c r="H12" s="76">
        <v>0</v>
      </c>
      <c r="I12" s="77">
        <f t="shared" si="0"/>
        <v>0</v>
      </c>
      <c r="J12" s="76">
        <v>0</v>
      </c>
      <c r="K12" s="77">
        <f t="shared" si="1"/>
        <v>0</v>
      </c>
      <c r="L12" s="76">
        <v>0</v>
      </c>
      <c r="M12" s="77">
        <f t="shared" si="2"/>
        <v>0</v>
      </c>
      <c r="N12" s="76">
        <v>0</v>
      </c>
      <c r="O12" s="77">
        <f t="shared" si="3"/>
        <v>0</v>
      </c>
      <c r="P12" s="76">
        <v>0</v>
      </c>
      <c r="Q12" s="77">
        <f t="shared" si="4"/>
        <v>0</v>
      </c>
      <c r="R12" s="76">
        <v>0</v>
      </c>
      <c r="S12" s="77">
        <f t="shared" si="5"/>
        <v>0</v>
      </c>
      <c r="T12" s="76">
        <v>0</v>
      </c>
      <c r="U12" s="77">
        <f t="shared" si="6"/>
        <v>0</v>
      </c>
      <c r="V12" s="76">
        <v>1</v>
      </c>
      <c r="W12" s="77">
        <f t="shared" si="7"/>
        <v>28370.21</v>
      </c>
      <c r="X12" s="68"/>
    </row>
    <row r="13" spans="1:24" ht="18" customHeight="1">
      <c r="A13" s="74">
        <v>9</v>
      </c>
      <c r="B13" s="192" t="s">
        <v>10</v>
      </c>
      <c r="C13" s="193"/>
      <c r="D13" s="193"/>
      <c r="E13" s="194"/>
      <c r="F13" s="78">
        <v>170.59</v>
      </c>
      <c r="G13" s="76">
        <f>F13/F23</f>
        <v>0.0006153557798172683</v>
      </c>
      <c r="H13" s="76">
        <v>0</v>
      </c>
      <c r="I13" s="77">
        <f t="shared" si="0"/>
        <v>0</v>
      </c>
      <c r="J13" s="76">
        <v>0</v>
      </c>
      <c r="K13" s="77">
        <f t="shared" si="1"/>
        <v>0</v>
      </c>
      <c r="L13" s="76">
        <v>0</v>
      </c>
      <c r="M13" s="77">
        <f t="shared" si="2"/>
        <v>0</v>
      </c>
      <c r="N13" s="76">
        <v>0</v>
      </c>
      <c r="O13" s="77">
        <f t="shared" si="3"/>
        <v>0</v>
      </c>
      <c r="P13" s="76">
        <v>0</v>
      </c>
      <c r="Q13" s="77">
        <f t="shared" si="4"/>
        <v>0</v>
      </c>
      <c r="R13" s="76">
        <v>0</v>
      </c>
      <c r="S13" s="77">
        <f t="shared" si="5"/>
        <v>0</v>
      </c>
      <c r="T13" s="76">
        <v>1</v>
      </c>
      <c r="U13" s="77">
        <f t="shared" si="6"/>
        <v>170.59</v>
      </c>
      <c r="V13" s="76">
        <v>0</v>
      </c>
      <c r="W13" s="77">
        <f t="shared" si="7"/>
        <v>0</v>
      </c>
      <c r="X13" s="68"/>
    </row>
    <row r="14" spans="1:24" ht="18" customHeight="1">
      <c r="A14" s="74">
        <v>10</v>
      </c>
      <c r="B14" s="189" t="s">
        <v>11</v>
      </c>
      <c r="C14" s="190"/>
      <c r="D14" s="190"/>
      <c r="E14" s="191"/>
      <c r="F14" s="75">
        <v>444.21</v>
      </c>
      <c r="G14" s="76">
        <f>F14/F23</f>
        <v>0.001602363508720492</v>
      </c>
      <c r="H14" s="76">
        <v>0</v>
      </c>
      <c r="I14" s="77">
        <f t="shared" si="0"/>
        <v>0</v>
      </c>
      <c r="J14" s="76">
        <v>0</v>
      </c>
      <c r="K14" s="77">
        <f t="shared" si="1"/>
        <v>0</v>
      </c>
      <c r="L14" s="76">
        <v>0</v>
      </c>
      <c r="M14" s="77">
        <f t="shared" si="2"/>
        <v>0</v>
      </c>
      <c r="N14" s="76">
        <v>1</v>
      </c>
      <c r="O14" s="77">
        <f t="shared" si="3"/>
        <v>444.21</v>
      </c>
      <c r="P14" s="76">
        <v>0</v>
      </c>
      <c r="Q14" s="77">
        <f t="shared" si="4"/>
        <v>0</v>
      </c>
      <c r="R14" s="76">
        <v>0</v>
      </c>
      <c r="S14" s="77">
        <f t="shared" si="5"/>
        <v>0</v>
      </c>
      <c r="T14" s="76">
        <v>0</v>
      </c>
      <c r="U14" s="77">
        <f t="shared" si="6"/>
        <v>0</v>
      </c>
      <c r="V14" s="76">
        <v>0</v>
      </c>
      <c r="W14" s="77">
        <f t="shared" si="7"/>
        <v>0</v>
      </c>
      <c r="X14" s="68"/>
    </row>
    <row r="15" spans="1:24" ht="18" customHeight="1">
      <c r="A15" s="74">
        <v>11</v>
      </c>
      <c r="B15" s="192" t="s">
        <v>12</v>
      </c>
      <c r="C15" s="193"/>
      <c r="D15" s="193"/>
      <c r="E15" s="194"/>
      <c r="F15" s="78">
        <v>31915.15</v>
      </c>
      <c r="G15" s="76">
        <f>F15/F23</f>
        <v>0.11512498983665567</v>
      </c>
      <c r="H15" s="76">
        <v>0</v>
      </c>
      <c r="I15" s="77">
        <f t="shared" si="0"/>
        <v>0</v>
      </c>
      <c r="J15" s="76">
        <v>0</v>
      </c>
      <c r="K15" s="77">
        <f t="shared" si="1"/>
        <v>0</v>
      </c>
      <c r="L15" s="76">
        <v>0</v>
      </c>
      <c r="M15" s="77">
        <f t="shared" si="2"/>
        <v>0</v>
      </c>
      <c r="N15" s="76">
        <v>0</v>
      </c>
      <c r="O15" s="77">
        <f t="shared" si="3"/>
        <v>0</v>
      </c>
      <c r="P15" s="76">
        <v>0</v>
      </c>
      <c r="Q15" s="77">
        <f t="shared" si="4"/>
        <v>0</v>
      </c>
      <c r="R15" s="76">
        <v>0.8</v>
      </c>
      <c r="S15" s="77">
        <f t="shared" si="5"/>
        <v>25532.120000000003</v>
      </c>
      <c r="T15" s="76">
        <v>0.2</v>
      </c>
      <c r="U15" s="77">
        <f t="shared" si="6"/>
        <v>6383.030000000001</v>
      </c>
      <c r="V15" s="76">
        <v>0</v>
      </c>
      <c r="W15" s="77">
        <f t="shared" si="7"/>
        <v>0</v>
      </c>
      <c r="X15" s="68"/>
    </row>
    <row r="16" spans="1:24" ht="18" customHeight="1">
      <c r="A16" s="74">
        <v>12</v>
      </c>
      <c r="B16" s="189" t="s">
        <v>13</v>
      </c>
      <c r="C16" s="190"/>
      <c r="D16" s="190"/>
      <c r="E16" s="191"/>
      <c r="F16" s="78">
        <v>20997.68</v>
      </c>
      <c r="G16" s="76">
        <f>F16/F23</f>
        <v>0.07574326602235452</v>
      </c>
      <c r="H16" s="76">
        <v>0</v>
      </c>
      <c r="I16" s="77">
        <f t="shared" si="0"/>
        <v>0</v>
      </c>
      <c r="J16" s="76">
        <v>0</v>
      </c>
      <c r="K16" s="77">
        <f t="shared" si="1"/>
        <v>0</v>
      </c>
      <c r="L16" s="76">
        <v>0</v>
      </c>
      <c r="M16" s="77">
        <f t="shared" si="2"/>
        <v>0</v>
      </c>
      <c r="N16" s="76">
        <v>0</v>
      </c>
      <c r="O16" s="77">
        <f t="shared" si="3"/>
        <v>0</v>
      </c>
      <c r="P16" s="76">
        <v>0</v>
      </c>
      <c r="Q16" s="77">
        <f t="shared" si="4"/>
        <v>0</v>
      </c>
      <c r="R16" s="76">
        <v>0.25</v>
      </c>
      <c r="S16" s="77">
        <f t="shared" si="5"/>
        <v>5249.42</v>
      </c>
      <c r="T16" s="76">
        <v>0.75</v>
      </c>
      <c r="U16" s="77">
        <f t="shared" si="6"/>
        <v>15748.26</v>
      </c>
      <c r="V16" s="76">
        <v>0</v>
      </c>
      <c r="W16" s="77">
        <f t="shared" si="7"/>
        <v>0</v>
      </c>
      <c r="X16" s="68"/>
    </row>
    <row r="17" spans="1:24" ht="18" customHeight="1">
      <c r="A17" s="74">
        <v>13</v>
      </c>
      <c r="B17" s="189" t="s">
        <v>14</v>
      </c>
      <c r="C17" s="190"/>
      <c r="D17" s="190"/>
      <c r="E17" s="191"/>
      <c r="F17" s="78">
        <v>13763.17</v>
      </c>
      <c r="G17" s="76">
        <f>F17/F23</f>
        <v>0.049646791770371256</v>
      </c>
      <c r="H17" s="76">
        <v>0</v>
      </c>
      <c r="I17" s="77">
        <f t="shared" si="0"/>
        <v>0</v>
      </c>
      <c r="J17" s="76">
        <v>0</v>
      </c>
      <c r="K17" s="77">
        <f t="shared" si="1"/>
        <v>0</v>
      </c>
      <c r="L17" s="76">
        <v>0</v>
      </c>
      <c r="M17" s="77">
        <f t="shared" si="2"/>
        <v>0</v>
      </c>
      <c r="N17" s="76">
        <v>0</v>
      </c>
      <c r="O17" s="77">
        <f t="shared" si="3"/>
        <v>0</v>
      </c>
      <c r="P17" s="76">
        <v>0</v>
      </c>
      <c r="Q17" s="77">
        <f t="shared" si="4"/>
        <v>0</v>
      </c>
      <c r="R17" s="76">
        <v>0</v>
      </c>
      <c r="S17" s="77">
        <f t="shared" si="5"/>
        <v>0</v>
      </c>
      <c r="T17" s="76">
        <v>0</v>
      </c>
      <c r="U17" s="77">
        <f t="shared" si="6"/>
        <v>0</v>
      </c>
      <c r="V17" s="76">
        <v>1</v>
      </c>
      <c r="W17" s="77">
        <f t="shared" si="7"/>
        <v>13763.17</v>
      </c>
      <c r="X17" s="68"/>
    </row>
    <row r="18" spans="1:24" ht="18" customHeight="1">
      <c r="A18" s="74">
        <v>14</v>
      </c>
      <c r="B18" s="192" t="s">
        <v>15</v>
      </c>
      <c r="C18" s="193"/>
      <c r="D18" s="193"/>
      <c r="E18" s="194"/>
      <c r="F18" s="78">
        <v>12797.11</v>
      </c>
      <c r="G18" s="76">
        <f>F18/F23</f>
        <v>0.04616200013750726</v>
      </c>
      <c r="H18" s="76">
        <v>0</v>
      </c>
      <c r="I18" s="77">
        <f t="shared" si="0"/>
        <v>0</v>
      </c>
      <c r="J18" s="76">
        <v>0</v>
      </c>
      <c r="K18" s="77">
        <f t="shared" si="1"/>
        <v>0</v>
      </c>
      <c r="L18" s="76">
        <v>0</v>
      </c>
      <c r="M18" s="77">
        <f t="shared" si="2"/>
        <v>0</v>
      </c>
      <c r="N18" s="76">
        <v>0.2</v>
      </c>
      <c r="O18" s="77">
        <f t="shared" si="3"/>
        <v>2559.4220000000005</v>
      </c>
      <c r="P18" s="76">
        <v>0.3</v>
      </c>
      <c r="Q18" s="77">
        <f t="shared" si="4"/>
        <v>3839.133</v>
      </c>
      <c r="R18" s="76">
        <v>0.4</v>
      </c>
      <c r="S18" s="77">
        <f t="shared" si="5"/>
        <v>5118.844000000001</v>
      </c>
      <c r="T18" s="76">
        <v>0.1</v>
      </c>
      <c r="U18" s="77">
        <f t="shared" si="6"/>
        <v>1279.7110000000002</v>
      </c>
      <c r="V18" s="76">
        <v>0</v>
      </c>
      <c r="W18" s="77">
        <f t="shared" si="7"/>
        <v>0</v>
      </c>
      <c r="X18" s="68"/>
    </row>
    <row r="19" spans="1:24" ht="18" customHeight="1">
      <c r="A19" s="74">
        <v>15</v>
      </c>
      <c r="B19" s="189" t="s">
        <v>16</v>
      </c>
      <c r="C19" s="190"/>
      <c r="D19" s="190"/>
      <c r="E19" s="191"/>
      <c r="F19" s="78">
        <v>8190.52</v>
      </c>
      <c r="G19" s="76">
        <f>F19/F23</f>
        <v>0.029545013316776673</v>
      </c>
      <c r="H19" s="76">
        <v>0</v>
      </c>
      <c r="I19" s="77">
        <f t="shared" si="0"/>
        <v>0</v>
      </c>
      <c r="J19" s="76">
        <v>0</v>
      </c>
      <c r="K19" s="77">
        <f t="shared" si="1"/>
        <v>0</v>
      </c>
      <c r="L19" s="76">
        <v>0</v>
      </c>
      <c r="M19" s="77">
        <f t="shared" si="2"/>
        <v>0</v>
      </c>
      <c r="N19" s="76">
        <v>0.2</v>
      </c>
      <c r="O19" s="77">
        <f t="shared" si="3"/>
        <v>1638.1040000000003</v>
      </c>
      <c r="P19" s="76">
        <v>0.2</v>
      </c>
      <c r="Q19" s="77">
        <f t="shared" si="4"/>
        <v>1638.1040000000003</v>
      </c>
      <c r="R19" s="76">
        <v>0.5</v>
      </c>
      <c r="S19" s="77">
        <f t="shared" si="5"/>
        <v>4095.26</v>
      </c>
      <c r="T19" s="76">
        <v>0.1</v>
      </c>
      <c r="U19" s="77">
        <f t="shared" si="6"/>
        <v>819.0520000000001</v>
      </c>
      <c r="V19" s="76">
        <v>0</v>
      </c>
      <c r="W19" s="77">
        <f t="shared" si="7"/>
        <v>0</v>
      </c>
      <c r="X19" s="68"/>
    </row>
    <row r="20" spans="1:24" ht="18" customHeight="1">
      <c r="A20" s="74">
        <v>16</v>
      </c>
      <c r="B20" s="192" t="s">
        <v>17</v>
      </c>
      <c r="C20" s="193"/>
      <c r="D20" s="193"/>
      <c r="E20" s="194"/>
      <c r="F20" s="78">
        <v>392</v>
      </c>
      <c r="G20" s="76">
        <f>F20/F23</f>
        <v>0.0014140305157885526</v>
      </c>
      <c r="H20" s="76">
        <v>0</v>
      </c>
      <c r="I20" s="77">
        <f t="shared" si="0"/>
        <v>0</v>
      </c>
      <c r="J20" s="76">
        <v>0</v>
      </c>
      <c r="K20" s="77">
        <f t="shared" si="1"/>
        <v>0</v>
      </c>
      <c r="L20" s="76">
        <v>0</v>
      </c>
      <c r="M20" s="77">
        <f t="shared" si="2"/>
        <v>0</v>
      </c>
      <c r="N20" s="76">
        <v>0</v>
      </c>
      <c r="O20" s="77">
        <f t="shared" si="3"/>
        <v>0</v>
      </c>
      <c r="P20" s="76">
        <v>0</v>
      </c>
      <c r="Q20" s="77">
        <f t="shared" si="4"/>
        <v>0</v>
      </c>
      <c r="R20" s="76">
        <v>0</v>
      </c>
      <c r="S20" s="77">
        <f t="shared" si="5"/>
        <v>0</v>
      </c>
      <c r="T20" s="76">
        <v>0</v>
      </c>
      <c r="U20" s="77">
        <f t="shared" si="6"/>
        <v>0</v>
      </c>
      <c r="V20" s="76">
        <v>1</v>
      </c>
      <c r="W20" s="77">
        <f t="shared" si="7"/>
        <v>392</v>
      </c>
      <c r="X20" s="68"/>
    </row>
    <row r="21" spans="1:24" s="69" customFormat="1" ht="31.5" customHeight="1">
      <c r="A21" s="79">
        <v>17</v>
      </c>
      <c r="B21" s="196" t="s">
        <v>208</v>
      </c>
      <c r="C21" s="197"/>
      <c r="D21" s="197"/>
      <c r="E21" s="198"/>
      <c r="F21" s="78">
        <v>100068.23</v>
      </c>
      <c r="G21" s="76">
        <f>F21/F23</f>
        <v>0.3609681910228253</v>
      </c>
      <c r="H21" s="76">
        <v>0.2</v>
      </c>
      <c r="I21" s="77">
        <f t="shared" si="0"/>
        <v>20013.646</v>
      </c>
      <c r="J21" s="76">
        <v>0.45</v>
      </c>
      <c r="K21" s="77">
        <f t="shared" si="1"/>
        <v>45030.703499999996</v>
      </c>
      <c r="L21" s="76">
        <v>0.35</v>
      </c>
      <c r="M21" s="77">
        <f t="shared" si="2"/>
        <v>35023.8805</v>
      </c>
      <c r="N21" s="76">
        <v>0</v>
      </c>
      <c r="O21" s="77">
        <f t="shared" si="3"/>
        <v>0</v>
      </c>
      <c r="P21" s="76">
        <v>0</v>
      </c>
      <c r="Q21" s="77">
        <f t="shared" si="4"/>
        <v>0</v>
      </c>
      <c r="R21" s="76">
        <v>0</v>
      </c>
      <c r="S21" s="77">
        <f t="shared" si="5"/>
        <v>0</v>
      </c>
      <c r="T21" s="76">
        <v>0</v>
      </c>
      <c r="U21" s="77">
        <f t="shared" si="6"/>
        <v>0</v>
      </c>
      <c r="V21" s="76">
        <v>0</v>
      </c>
      <c r="W21" s="77">
        <f t="shared" si="7"/>
        <v>0</v>
      </c>
      <c r="X21" s="68"/>
    </row>
    <row r="22" spans="1:23" ht="18" customHeight="1">
      <c r="A22" s="96">
        <v>18</v>
      </c>
      <c r="B22" s="201" t="s">
        <v>238</v>
      </c>
      <c r="C22" s="202"/>
      <c r="D22" s="202"/>
      <c r="E22" s="203"/>
      <c r="F22" s="75">
        <v>1078</v>
      </c>
      <c r="G22" s="76">
        <f>F22/F23</f>
        <v>0.0038885839184185193</v>
      </c>
      <c r="H22" s="76">
        <v>0</v>
      </c>
      <c r="I22" s="97">
        <f t="shared" si="0"/>
        <v>0</v>
      </c>
      <c r="J22" s="76">
        <v>0</v>
      </c>
      <c r="K22" s="97">
        <f t="shared" si="1"/>
        <v>0</v>
      </c>
      <c r="L22" s="76">
        <v>0</v>
      </c>
      <c r="M22" s="97">
        <f t="shared" si="2"/>
        <v>0</v>
      </c>
      <c r="N22" s="76">
        <v>0</v>
      </c>
      <c r="O22" s="97">
        <f t="shared" si="3"/>
        <v>0</v>
      </c>
      <c r="P22" s="76">
        <v>0</v>
      </c>
      <c r="Q22" s="97">
        <f t="shared" si="4"/>
        <v>0</v>
      </c>
      <c r="R22" s="76">
        <v>0</v>
      </c>
      <c r="S22" s="97">
        <f t="shared" si="5"/>
        <v>0</v>
      </c>
      <c r="T22" s="76">
        <v>0</v>
      </c>
      <c r="U22" s="97">
        <f t="shared" si="6"/>
        <v>0</v>
      </c>
      <c r="V22" s="76">
        <v>1</v>
      </c>
      <c r="W22" s="97">
        <f t="shared" si="7"/>
        <v>1078</v>
      </c>
    </row>
    <row r="23" spans="1:23" ht="18" customHeight="1">
      <c r="A23" s="82"/>
      <c r="B23" s="180" t="s">
        <v>219</v>
      </c>
      <c r="C23" s="181"/>
      <c r="D23" s="181"/>
      <c r="E23" s="182"/>
      <c r="F23" s="83">
        <f>SUM(F5:F22)</f>
        <v>277221.74</v>
      </c>
      <c r="G23" s="84">
        <f>SUM(G5:G21)</f>
        <v>0.9961114160815816</v>
      </c>
      <c r="H23" s="85">
        <f>(H5*F5+H6*F6+H7*F7+H8*F8+H9*F9+H10*F10+H11*F11+H12*F12+H13*F13+H14*F14+H15*F15+H16*F16+H17*F17+H18*F18+H19*F19+H20*F20+H21*F21)/F24</f>
        <v>0.08703414818765658</v>
      </c>
      <c r="I23" s="83">
        <f>SUM(I5:I22)</f>
        <v>24127.758</v>
      </c>
      <c r="J23" s="85">
        <f>(J5*F5+J6*F6+J7*F7+J8*F8+J9*F9+J10*F10+J11*F11+J12*F12+J13*F13+J14*F14+J15*F15+J16*F16+J17*F17+J18*F18+J19*F19+J20*F20+J21*F21)/F23</f>
        <v>0.16274495824173096</v>
      </c>
      <c r="K23" s="83">
        <f>SUM(K5:K22)</f>
        <v>45116.4405</v>
      </c>
      <c r="L23" s="85">
        <f>(L5*F5+L6*F6+L7*F7+L8*F8+L9*F9+L10*F10+L11*F11+L12*F12+L13*F13+L14*F14+L15*F15+L16*F16+L17*F17+L18*F18+L19*F19+L20*F20+L21*F21)/F23</f>
        <v>0.12664813913944845</v>
      </c>
      <c r="M23" s="83">
        <f>SUM(M5:M22)</f>
        <v>35109.6175</v>
      </c>
      <c r="N23" s="85">
        <f>(N5*F5+N6*F6+N7*F7+N8*F8+N9*F9+N10*F10+N11*F11+N12*F12+N13*F13+N14*F14+N15*F15+N16*F16+N17*F17+N18*F18+N19*F19+N20*F20+N21*F21)/F23</f>
        <v>0.12538659522157244</v>
      </c>
      <c r="O23" s="83">
        <f>SUM(O5:O22)</f>
        <v>34759.8901</v>
      </c>
      <c r="P23" s="85">
        <f>(P5*F5+P6*F6+P7*F7+P8*F8+P9*F9+P10*F10+P11*F11+P12*F12+P13*F13+P14*F14+P15*F15+P16*F16+P17*F17+P18*F18+P19*F19+P20*F20+P21*F21)/F23</f>
        <v>0.10706116302422748</v>
      </c>
      <c r="Q23" s="83">
        <f>SUM(Q5:Q22)</f>
        <v>29679.681900000003</v>
      </c>
      <c r="R23" s="85">
        <f>(R5*F5+R6*F6+R7*F7+R8*F8+R9*F9+R10*F10+R11*F11+R12*F12+R13*F13+R14*F14+R15*F15+R16*F16+R17*F17+R18*F18+R19*F19+R20*F20+R21*F21)/F23</f>
        <v>0.144582387369764</v>
      </c>
      <c r="S23" s="83">
        <f>SUM(S5:S22)</f>
        <v>40081.381</v>
      </c>
      <c r="T23" s="85">
        <f>(T5*F5+T6*F6+T7*F7+T8*F8+T9*F9+T10*F10+T11*F11+T12*F12+T13*F13+T14*F14+T15*F15+T16*F16+T17*F17+T18*F18+T19*F19+T20*F20+T21*F21)/F23</f>
        <v>0.08832777689080229</v>
      </c>
      <c r="U23" s="83">
        <f>SUM(U5:U22)</f>
        <v>24486.38</v>
      </c>
      <c r="V23" s="85">
        <f>(V5*F5+V6*F6+V7*F7+V8*F8+V9*F9+V10*F10+V11*F11+V12*F12+V13*F13+V14*F14+V15*F15+V16*F16+V17*F17+V18*F18+V19*F19+V20*F20+V21*F21+V22*F22)/F23</f>
        <v>0.15821483192479782</v>
      </c>
      <c r="W23" s="83">
        <f>SUM(W5:W22)</f>
        <v>43860.591</v>
      </c>
    </row>
    <row r="24" spans="1:23" ht="18" customHeight="1">
      <c r="A24" s="82"/>
      <c r="B24" s="180" t="s">
        <v>220</v>
      </c>
      <c r="C24" s="181"/>
      <c r="D24" s="181"/>
      <c r="E24" s="182"/>
      <c r="F24" s="83">
        <f>SUM(F5:F22)</f>
        <v>277221.74</v>
      </c>
      <c r="G24" s="84">
        <f>SUM(G5:G21)</f>
        <v>0.9961114160815816</v>
      </c>
      <c r="H24" s="85">
        <f>H23</f>
        <v>0.08703414818765658</v>
      </c>
      <c r="I24" s="83">
        <f>F24*H24</f>
        <v>24127.758</v>
      </c>
      <c r="J24" s="85">
        <f>H24+J23</f>
        <v>0.24977910642938755</v>
      </c>
      <c r="K24" s="83">
        <f>J24*F24</f>
        <v>69244.1985</v>
      </c>
      <c r="L24" s="85">
        <f>J24+L23</f>
        <v>0.376427245568836</v>
      </c>
      <c r="M24" s="83">
        <f>F24*L24</f>
        <v>104353.816</v>
      </c>
      <c r="N24" s="85">
        <f>L24+N23</f>
        <v>0.5018138407904085</v>
      </c>
      <c r="O24" s="83">
        <f>N24*F24</f>
        <v>139113.7061</v>
      </c>
      <c r="P24" s="85">
        <f>N24+P23</f>
        <v>0.608875003814636</v>
      </c>
      <c r="Q24" s="83">
        <f>F24*P24</f>
        <v>168793.38800000004</v>
      </c>
      <c r="R24" s="85">
        <f>P24+R23</f>
        <v>0.7534573911844</v>
      </c>
      <c r="S24" s="83">
        <f>F24*R24</f>
        <v>208874.76900000003</v>
      </c>
      <c r="T24" s="85">
        <f>R24+T23</f>
        <v>0.8417851680752023</v>
      </c>
      <c r="U24" s="83">
        <f>F24*T24</f>
        <v>233361.14900000003</v>
      </c>
      <c r="V24" s="86">
        <f>T24+V23</f>
        <v>1.0000000000000002</v>
      </c>
      <c r="W24" s="83">
        <f>F24*V24</f>
        <v>277221.74000000005</v>
      </c>
    </row>
    <row r="25" ht="9.75" customHeight="1">
      <c r="A25" s="70"/>
    </row>
    <row r="26" ht="9.75" customHeight="1">
      <c r="A26" s="71"/>
    </row>
    <row r="27" ht="9.75" customHeight="1">
      <c r="A27" s="71"/>
    </row>
    <row r="28" ht="9.75" customHeight="1">
      <c r="A28" s="71"/>
    </row>
    <row r="29" ht="9.75" customHeight="1">
      <c r="A29" s="71"/>
    </row>
    <row r="30" spans="1:11" ht="9.75" customHeight="1">
      <c r="A30" s="71"/>
      <c r="B30" s="199"/>
      <c r="C30" s="199"/>
      <c r="D30" s="199"/>
      <c r="E30" s="199"/>
      <c r="G30" s="200"/>
      <c r="H30" s="200"/>
      <c r="I30" s="200"/>
      <c r="J30" s="200"/>
      <c r="K30" s="200"/>
    </row>
    <row r="31" spans="2:11" ht="15.75">
      <c r="B31" s="150" t="s">
        <v>145</v>
      </c>
      <c r="C31" s="150"/>
      <c r="D31" s="150"/>
      <c r="E31" s="150"/>
      <c r="F31" s="4"/>
      <c r="G31" s="149" t="s">
        <v>142</v>
      </c>
      <c r="H31" s="149"/>
      <c r="I31" s="149"/>
      <c r="J31" s="149"/>
      <c r="K31" s="149"/>
    </row>
    <row r="32" spans="2:11" ht="15.75">
      <c r="B32" s="149" t="s">
        <v>146</v>
      </c>
      <c r="C32" s="149"/>
      <c r="D32" s="149"/>
      <c r="E32" s="149"/>
      <c r="F32" s="4"/>
      <c r="G32" s="149" t="s">
        <v>143</v>
      </c>
      <c r="H32" s="149"/>
      <c r="I32" s="149"/>
      <c r="J32" s="149"/>
      <c r="K32" s="149"/>
    </row>
    <row r="33" spans="2:11" ht="15.75">
      <c r="B33" s="4"/>
      <c r="C33" s="4"/>
      <c r="D33" s="4"/>
      <c r="E33" s="4"/>
      <c r="F33" s="4"/>
      <c r="G33" s="195" t="s">
        <v>144</v>
      </c>
      <c r="H33" s="195"/>
      <c r="I33" s="195"/>
      <c r="J33" s="195"/>
      <c r="K33" s="195"/>
    </row>
    <row r="34" spans="2:11" ht="9.75" customHeight="1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9.75" customHeight="1">
      <c r="B35" s="4"/>
      <c r="C35" s="4"/>
      <c r="D35" s="4"/>
      <c r="E35" s="4"/>
      <c r="F35" s="144" t="s">
        <v>227</v>
      </c>
      <c r="G35" s="144"/>
      <c r="H35" s="144"/>
      <c r="I35" s="144"/>
      <c r="J35" s="144"/>
      <c r="K35" s="144"/>
    </row>
  </sheetData>
  <sheetProtection/>
  <mergeCells count="40">
    <mergeCell ref="B17:E17"/>
    <mergeCell ref="B18:E18"/>
    <mergeCell ref="B19:E19"/>
    <mergeCell ref="B14:E14"/>
    <mergeCell ref="B13:E13"/>
    <mergeCell ref="B16:E16"/>
    <mergeCell ref="B8:E8"/>
    <mergeCell ref="B9:E9"/>
    <mergeCell ref="B10:E10"/>
    <mergeCell ref="B11:E11"/>
    <mergeCell ref="A1:W1"/>
    <mergeCell ref="H3:I3"/>
    <mergeCell ref="J3:K3"/>
    <mergeCell ref="L3:M3"/>
    <mergeCell ref="N3:O3"/>
    <mergeCell ref="P3:Q3"/>
    <mergeCell ref="R3:S3"/>
    <mergeCell ref="T3:U3"/>
    <mergeCell ref="V3:W3"/>
    <mergeCell ref="A3:G3"/>
    <mergeCell ref="G33:K33"/>
    <mergeCell ref="F35:K35"/>
    <mergeCell ref="B21:E21"/>
    <mergeCell ref="B30:E30"/>
    <mergeCell ref="B31:E31"/>
    <mergeCell ref="B32:E32"/>
    <mergeCell ref="G31:K31"/>
    <mergeCell ref="G30:K30"/>
    <mergeCell ref="G32:K32"/>
    <mergeCell ref="B22:E22"/>
    <mergeCell ref="B23:E23"/>
    <mergeCell ref="B24:E24"/>
    <mergeCell ref="H2:W2"/>
    <mergeCell ref="B4:E4"/>
    <mergeCell ref="B5:E5"/>
    <mergeCell ref="B6:E6"/>
    <mergeCell ref="B7:E7"/>
    <mergeCell ref="B20:E20"/>
    <mergeCell ref="B15:E15"/>
    <mergeCell ref="B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C.</dc:creator>
  <cp:keywords/>
  <dc:description/>
  <cp:lastModifiedBy>Jussara</cp:lastModifiedBy>
  <cp:lastPrinted>2016-10-20T17:29:36Z</cp:lastPrinted>
  <dcterms:created xsi:type="dcterms:W3CDTF">2016-06-20T13:17:54Z</dcterms:created>
  <dcterms:modified xsi:type="dcterms:W3CDTF">2016-12-13T13:02:08Z</dcterms:modified>
  <cp:category/>
  <cp:version/>
  <cp:contentType/>
  <cp:contentStatus/>
</cp:coreProperties>
</file>